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3\"/>
    </mc:Choice>
  </mc:AlternateContent>
  <bookViews>
    <workbookView xWindow="408" yWindow="12" windowWidth="8400" windowHeight="4188"/>
  </bookViews>
  <sheets>
    <sheet name="Model" sheetId="1" r:id="rId1"/>
    <sheet name="Revised Model b" sheetId="2" r:id="rId2"/>
    <sheet name="Revised Model b_STS" sheetId="3" state="veryHidden" r:id="rId3"/>
    <sheet name="STS_1" sheetId="6" r:id="rId4"/>
    <sheet name="STS_2" sheetId="7" r:id="rId5"/>
    <sheet name="STS_3" sheetId="8" r:id="rId6"/>
  </sheets>
  <definedNames>
    <definedName name="ChartData" localSheetId="3">STS_1!$K$5:$K$25</definedName>
    <definedName name="ChartData" localSheetId="4">STS_2!$K$5:$K$15</definedName>
    <definedName name="ChartData1" localSheetId="5">STS_3!$K$5:$K$10</definedName>
    <definedName name="ChartData2" localSheetId="5">STS_3!$O$5:$O$15</definedName>
    <definedName name="Demand" localSheetId="1">'Revised Model b'!$B$22:$D$22</definedName>
    <definedName name="Demand">Model!$B$22:$D$22</definedName>
    <definedName name="Ending" localSheetId="1">'Revised Model b'!$B$26:$D$26</definedName>
    <definedName name="Ending">Model!$B$26:$D$26</definedName>
    <definedName name="InputValues" localSheetId="3">STS_1!$A$5:$A$25</definedName>
    <definedName name="InputValues" localSheetId="4">STS_2!$A$5:$A$15</definedName>
    <definedName name="InputValues1" localSheetId="5">STS_3!$A$5:$A$15</definedName>
    <definedName name="InputValues2" localSheetId="5">STS_3!$B$4:$G$4</definedName>
    <definedName name="Onhand" localSheetId="1">'Revised Model b'!$B$20:$D$20</definedName>
    <definedName name="Onhand">Model!$B$20:$D$20</definedName>
    <definedName name="OTProd" localSheetId="1">'Revised Model b'!$B$18:$D$18</definedName>
    <definedName name="OTProd">Model!$B$18:$D$18</definedName>
    <definedName name="OutputAddresses" localSheetId="3">STS_1!$B$4</definedName>
    <definedName name="OutputAddresses" localSheetId="4">STS_2!$B$4</definedName>
    <definedName name="OutputAddresses" localSheetId="5">STS_3!$BA$1</definedName>
    <definedName name="OutputValues" localSheetId="3">STS_1!$B$5:$B$25</definedName>
    <definedName name="OutputValues" localSheetId="4">STS_2!$B$5:$B$15</definedName>
    <definedName name="OutputValues_1" localSheetId="5">STS_3!$B$5:$G$15</definedName>
    <definedName name="RTCap" localSheetId="1">'Revised Model b'!$B$16:$D$16</definedName>
    <definedName name="RTCap">Model!$B$16:$D$16</definedName>
    <definedName name="RTProd" localSheetId="1">'Revised Model b'!$B$14:$D$14</definedName>
    <definedName name="RTProd">Model!$B$14:$D$14</definedName>
    <definedName name="solver_adj" localSheetId="0" hidden="1">Model!$B$14:$D$14,Model!$B$18:$D$18</definedName>
    <definedName name="solver_adj" localSheetId="1" hidden="1">'Revised Model b'!$B$14:$D$14,'Revised Model b'!$B$18:$D$18</definedName>
    <definedName name="solver_cvg" localSheetId="0" hidden="1">0.001</definedName>
    <definedName name="solver_cvg" localSheetId="1" hidden="1">0.001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Model!$B$14:$D$14</definedName>
    <definedName name="solver_lhs1" localSheetId="1" hidden="1">'Revised Model b'!$B$14:$D$14</definedName>
    <definedName name="solver_lhs2" localSheetId="0" hidden="1">Model!$B$20:$D$20</definedName>
    <definedName name="solver_lhs2" localSheetId="1" hidden="1">'Revised Model b'!$B$20:$D$20</definedName>
    <definedName name="solver_lhs3" localSheetId="0" hidden="1">Model!$B$14:$D$14</definedName>
    <definedName name="solver_lhs3" localSheetId="1" hidden="1">'Revised Model b'!$B$14:$D$14</definedName>
    <definedName name="solver_lhs4" localSheetId="0" hidden="1">Model!$B$20:$D$20</definedName>
    <definedName name="solver_lhs4" localSheetId="1" hidden="1">'Revised Model b'!$B$20:$D$20</definedName>
    <definedName name="solver_lin" localSheetId="0" hidden="1">1</definedName>
    <definedName name="solver_lin" localSheetId="1" hidden="1">1</definedName>
    <definedName name="solver_neg" localSheetId="0" hidden="1">1</definedName>
    <definedName name="solver_neg" localSheetId="1" hidden="1">1</definedName>
    <definedName name="solver_num" localSheetId="0" hidden="1">2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pt" localSheetId="0" hidden="1">Model!$B$31</definedName>
    <definedName name="solver_opt" localSheetId="1" hidden="1">'Revised Model b'!$B$31</definedName>
    <definedName name="solver_pre" localSheetId="0" hidden="1">0.000001</definedName>
    <definedName name="solver_pre" localSheetId="1" hidden="1">0.000001</definedName>
    <definedName name="solver_rel1" localSheetId="0" hidden="1">1</definedName>
    <definedName name="solver_rel1" localSheetId="1" hidden="1">1</definedName>
    <definedName name="solver_rel2" localSheetId="0" hidden="1">3</definedName>
    <definedName name="solver_rel2" localSheetId="1" hidden="1">3</definedName>
    <definedName name="solver_rel3" localSheetId="0" hidden="1">1</definedName>
    <definedName name="solver_rel3" localSheetId="1" hidden="1">1</definedName>
    <definedName name="solver_rel4" localSheetId="0" hidden="1">3</definedName>
    <definedName name="solver_rel4" localSheetId="1" hidden="1">3</definedName>
    <definedName name="solver_rhs1" localSheetId="0" hidden="1">Model!$B$16:$D$16</definedName>
    <definedName name="solver_rhs1" localSheetId="1" hidden="1">'Revised Model b'!$B$16:$D$16</definedName>
    <definedName name="solver_rhs2" localSheetId="0" hidden="1">Model!$B$22:$D$22</definedName>
    <definedName name="solver_rhs2" localSheetId="1" hidden="1">'Revised Model b'!$B$22:$D$22</definedName>
    <definedName name="solver_rhs3" localSheetId="0" hidden="1">Model!$B$16:$D$16</definedName>
    <definedName name="solver_rhs3" localSheetId="1" hidden="1">'Revised Model b'!$B$16:$D$16</definedName>
    <definedName name="solver_rhs4" localSheetId="0" hidden="1">Model!$B$22:$D$22</definedName>
    <definedName name="solver_rhs4" localSheetId="1" hidden="1">'Revised Model b'!$B$22:$D$22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TotCost" localSheetId="1">'Revised Model b'!$B$31</definedName>
    <definedName name="TotCost">Model!$B$31</definedName>
  </definedNames>
  <calcPr calcId="152511"/>
</workbook>
</file>

<file path=xl/calcChain.xml><?xml version="1.0" encoding="utf-8"?>
<calcChain xmlns="http://schemas.openxmlformats.org/spreadsheetml/2006/main">
  <c r="B19" i="8" l="1"/>
  <c r="C19" i="8"/>
  <c r="D19" i="8"/>
  <c r="E19" i="8"/>
  <c r="F19" i="8"/>
  <c r="G19" i="8"/>
  <c r="B20" i="8"/>
  <c r="C20" i="8"/>
  <c r="D20" i="8"/>
  <c r="E20" i="8"/>
  <c r="F20" i="8"/>
  <c r="G20" i="8"/>
  <c r="B21" i="8"/>
  <c r="C21" i="8"/>
  <c r="D21" i="8"/>
  <c r="E21" i="8"/>
  <c r="F21" i="8"/>
  <c r="G21" i="8"/>
  <c r="B22" i="8"/>
  <c r="C22" i="8"/>
  <c r="D22" i="8"/>
  <c r="E22" i="8"/>
  <c r="F22" i="8"/>
  <c r="G22" i="8"/>
  <c r="B23" i="8"/>
  <c r="C23" i="8"/>
  <c r="D23" i="8"/>
  <c r="E23" i="8"/>
  <c r="F23" i="8"/>
  <c r="G23" i="8"/>
  <c r="B24" i="8"/>
  <c r="C24" i="8"/>
  <c r="D24" i="8"/>
  <c r="E24" i="8"/>
  <c r="F24" i="8"/>
  <c r="G24" i="8"/>
  <c r="B25" i="8"/>
  <c r="C25" i="8"/>
  <c r="D25" i="8"/>
  <c r="E25" i="8"/>
  <c r="F25" i="8"/>
  <c r="G25" i="8"/>
  <c r="B26" i="8"/>
  <c r="C26" i="8"/>
  <c r="D26" i="8"/>
  <c r="E26" i="8"/>
  <c r="F26" i="8"/>
  <c r="G26" i="8"/>
  <c r="B27" i="8"/>
  <c r="C27" i="8"/>
  <c r="D27" i="8"/>
  <c r="E27" i="8"/>
  <c r="F27" i="8"/>
  <c r="G27" i="8"/>
  <c r="B28" i="8"/>
  <c r="C28" i="8"/>
  <c r="D28" i="8"/>
  <c r="E28" i="8"/>
  <c r="F28" i="8"/>
  <c r="G28" i="8"/>
  <c r="B29" i="8"/>
  <c r="C29" i="8"/>
  <c r="D29" i="8"/>
  <c r="E29" i="8"/>
  <c r="F29" i="8"/>
  <c r="G29" i="8"/>
  <c r="O1" i="8"/>
  <c r="K1" i="8"/>
  <c r="Q4" i="8"/>
  <c r="N4" i="8"/>
  <c r="N5" i="8" s="1"/>
  <c r="M4" i="8"/>
  <c r="J4" i="8"/>
  <c r="J5" i="8" s="1"/>
  <c r="C6" i="7"/>
  <c r="C7" i="7"/>
  <c r="C8" i="7"/>
  <c r="C9" i="7"/>
  <c r="C10" i="7"/>
  <c r="C11" i="7"/>
  <c r="C12" i="7"/>
  <c r="C13" i="7"/>
  <c r="C14" i="7"/>
  <c r="C15" i="7"/>
  <c r="K1" i="7"/>
  <c r="J4" i="7"/>
  <c r="K15" i="7" s="1"/>
  <c r="B8" i="2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K1" i="6"/>
  <c r="J4" i="6"/>
  <c r="K25" i="6" s="1"/>
  <c r="B7" i="2"/>
  <c r="B20" i="2" s="1"/>
  <c r="B24" i="2" s="1"/>
  <c r="B29" i="2"/>
  <c r="B28" i="2"/>
  <c r="O10" i="8"/>
  <c r="K6" i="6" l="1"/>
  <c r="K8" i="6"/>
  <c r="K10" i="6"/>
  <c r="K12" i="6"/>
  <c r="K14" i="6"/>
  <c r="K16" i="6"/>
  <c r="K18" i="6"/>
  <c r="K20" i="6"/>
  <c r="K22" i="6"/>
  <c r="K24" i="6"/>
  <c r="K6" i="7"/>
  <c r="K8" i="7"/>
  <c r="K10" i="7"/>
  <c r="K12" i="7"/>
  <c r="K14" i="7"/>
  <c r="K5" i="6"/>
  <c r="K7" i="6"/>
  <c r="K9" i="6"/>
  <c r="K11" i="6"/>
  <c r="K13" i="6"/>
  <c r="K15" i="6"/>
  <c r="K17" i="6"/>
  <c r="K19" i="6"/>
  <c r="K21" i="6"/>
  <c r="K23" i="6"/>
  <c r="K5" i="7"/>
  <c r="K7" i="7"/>
  <c r="K9" i="7"/>
  <c r="K11" i="7"/>
  <c r="K13" i="7"/>
  <c r="B25" i="2"/>
  <c r="B26" i="2" s="1"/>
  <c r="O13" i="8"/>
  <c r="O12" i="8"/>
  <c r="K8" i="8"/>
  <c r="O7" i="8"/>
  <c r="O8" i="8"/>
  <c r="O6" i="8"/>
  <c r="K10" i="8"/>
  <c r="O15" i="8"/>
  <c r="K6" i="8"/>
  <c r="O14" i="8"/>
  <c r="O5" i="8"/>
  <c r="O9" i="8"/>
  <c r="K5" i="8"/>
  <c r="O11" i="8"/>
  <c r="K9" i="8"/>
  <c r="K7" i="8"/>
  <c r="C20" i="2" l="1"/>
  <c r="C24" i="2" s="1"/>
  <c r="C25" i="2" l="1"/>
  <c r="C26" i="2" s="1"/>
  <c r="D20" i="2" l="1"/>
  <c r="D24" i="2" s="1"/>
  <c r="D25" i="2" l="1"/>
  <c r="D26" i="2" s="1"/>
  <c r="B30" i="2" s="1"/>
  <c r="B31" i="2" s="1"/>
  <c r="B20" i="1"/>
  <c r="B24" i="1" s="1"/>
  <c r="B29" i="1"/>
  <c r="B28" i="1"/>
  <c r="B25" i="1" l="1"/>
  <c r="B26" i="1" s="1"/>
  <c r="C20" i="1" l="1"/>
  <c r="C24" i="1" s="1"/>
  <c r="C25" i="1" l="1"/>
  <c r="C26" i="1" s="1"/>
  <c r="D20" i="1" l="1"/>
  <c r="D24" i="1" s="1"/>
  <c r="D25" i="1" l="1"/>
  <c r="D26" i="1" s="1"/>
  <c r="B30" i="1" s="1"/>
  <c r="B31" i="1" s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3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G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G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G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G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G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G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G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G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G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G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G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<sst xmlns="http://schemas.openxmlformats.org/spreadsheetml/2006/main" count="93" uniqueCount="47">
  <si>
    <t>Regular-time unit cost</t>
  </si>
  <si>
    <t>Overtime unit cost</t>
  </si>
  <si>
    <t>Unit holding cost</t>
  </si>
  <si>
    <t>Percentage suitable</t>
  </si>
  <si>
    <t>Percentage that spoil</t>
  </si>
  <si>
    <t>Initial inventory</t>
  </si>
  <si>
    <t>Production schedule</t>
  </si>
  <si>
    <t>Quarter</t>
  </si>
  <si>
    <t>Regular-time production</t>
  </si>
  <si>
    <t>&lt;=</t>
  </si>
  <si>
    <t>Regular-time capacity</t>
  </si>
  <si>
    <t>Overtime production</t>
  </si>
  <si>
    <t>&gt;=</t>
  </si>
  <si>
    <t>Demand</t>
  </si>
  <si>
    <t>Leftover after meeting demand</t>
  </si>
  <si>
    <t>Spoilage</t>
  </si>
  <si>
    <t>Ending inventory</t>
  </si>
  <si>
    <t>Regular-time production cost</t>
  </si>
  <si>
    <t>Overtime production cost</t>
  </si>
  <si>
    <t>Holding cost</t>
  </si>
  <si>
    <t>Total cost</t>
  </si>
  <si>
    <t>Onhand after production</t>
  </si>
  <si>
    <t>Meeting demand with spoilage</t>
  </si>
  <si>
    <t>Original</t>
  </si>
  <si>
    <t>Change</t>
  </si>
  <si>
    <t>$E$7</t>
  </si>
  <si>
    <t>$B$31</t>
  </si>
  <si>
    <t>Oneway analysis for Solver model in Revised Model b worksheet</t>
  </si>
  <si>
    <t>TotCost</t>
  </si>
  <si>
    <t>Data for chart</t>
  </si>
  <si>
    <t>Pct suitable increase</t>
  </si>
  <si>
    <t>Pct suitable increase (cell $E$7) values along side, output cell(s) along top</t>
  </si>
  <si>
    <t>Decrease from base</t>
  </si>
  <si>
    <t>$E$8</t>
  </si>
  <si>
    <t>Pct spoil decrease</t>
  </si>
  <si>
    <t>Pct spoil decrease (cell $E$8) values along side, output cell(s) along top</t>
  </si>
  <si>
    <t/>
  </si>
  <si>
    <t>Twoway analysis for Solver model in Revised Model b worksheet</t>
  </si>
  <si>
    <t>Pct suitable increase (cell $E$7) values along side, Pct spoil decrease (cell $E$8) values along top, output cell in corner</t>
  </si>
  <si>
    <t>Output and Pct suitable increase value for chart</t>
  </si>
  <si>
    <t>Output</t>
  </si>
  <si>
    <t>Pct suitable increase value</t>
  </si>
  <si>
    <t>Output and Pct spoil decrease value for chart</t>
  </si>
  <si>
    <t>Pct spoil decrease value</t>
  </si>
  <si>
    <t>Changes from base</t>
  </si>
  <si>
    <t>Increase in % suitable</t>
  </si>
  <si>
    <t>Decrease in % that spoil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</si>
</sst>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6" x14ac:knownFonts="1"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6" fontId="2" fillId="2" borderId="0" xfId="0" applyNumberFormat="1" applyFont="1" applyFill="1" applyBorder="1"/>
    <xf numFmtId="9" fontId="2" fillId="2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0" fontId="2" fillId="0" borderId="0" xfId="0" applyFont="1" applyAlignment="1">
      <alignment horizontal="right"/>
    </xf>
    <xf numFmtId="1" fontId="2" fillId="0" borderId="0" xfId="0" applyNumberFormat="1" applyFont="1"/>
    <xf numFmtId="164" fontId="2" fillId="0" borderId="0" xfId="0" applyNumberFormat="1" applyFont="1"/>
    <xf numFmtId="164" fontId="2" fillId="4" borderId="0" xfId="0" applyNumberFormat="1" applyFont="1" applyFill="1" applyBorder="1"/>
    <xf numFmtId="9" fontId="2" fillId="0" borderId="0" xfId="0" applyNumberFormat="1" applyFont="1"/>
    <xf numFmtId="9" fontId="2" fillId="0" borderId="0" xfId="0" applyNumberFormat="1" applyFont="1" applyFill="1" applyBorder="1"/>
    <xf numFmtId="49" fontId="0" fillId="0" borderId="0" xfId="0" applyNumberFormat="1"/>
    <xf numFmtId="0" fontId="3" fillId="0" borderId="0" xfId="0" applyFont="1"/>
    <xf numFmtId="9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4" fillId="0" borderId="0" xfId="0" applyFont="1"/>
    <xf numFmtId="164" fontId="0" fillId="0" borderId="3" xfId="0" applyNumberFormat="1" applyBorder="1"/>
    <xf numFmtId="164" fontId="0" fillId="0" borderId="2" xfId="0" applyNumberFormat="1" applyBorder="1"/>
    <xf numFmtId="164" fontId="0" fillId="0" borderId="4" xfId="0" applyNumberFormat="1" applyBorder="1"/>
    <xf numFmtId="164" fontId="0" fillId="0" borderId="0" xfId="0" applyNumberFormat="1"/>
    <xf numFmtId="0" fontId="0" fillId="0" borderId="0" xfId="0" applyAlignment="1">
      <alignment horizontal="right"/>
    </xf>
    <xf numFmtId="0" fontId="0" fillId="6" borderId="0" xfId="0" applyFill="1"/>
    <xf numFmtId="164" fontId="0" fillId="0" borderId="6" xfId="0" applyNumberFormat="1" applyBorder="1"/>
    <xf numFmtId="164" fontId="0" fillId="0" borderId="1" xfId="0" applyNumberFormat="1" applyBorder="1"/>
    <xf numFmtId="164" fontId="0" fillId="0" borderId="9" xfId="0" applyNumberFormat="1" applyBorder="1"/>
    <xf numFmtId="164" fontId="0" fillId="0" borderId="7" xfId="0" applyNumberFormat="1" applyBorder="1"/>
    <xf numFmtId="164" fontId="0" fillId="0" borderId="0" xfId="0" applyNumberFormat="1" applyBorder="1"/>
    <xf numFmtId="164" fontId="0" fillId="0" borderId="10" xfId="0" applyNumberFormat="1" applyBorder="1"/>
    <xf numFmtId="164" fontId="0" fillId="0" borderId="8" xfId="0" applyNumberFormat="1" applyBorder="1"/>
    <xf numFmtId="164" fontId="0" fillId="0" borderId="5" xfId="0" applyNumberFormat="1" applyBorder="1"/>
    <xf numFmtId="164" fontId="0" fillId="0" borderId="11" xfId="0" applyNumberFormat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TotCost to Pct suitable increase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STS_1!$A$5:$A$25</c:f>
              <c:numCache>
                <c:formatCode>0%</c:formatCode>
                <c:ptCount val="21"/>
                <c:pt idx="0">
                  <c:v>0</c:v>
                </c:pt>
                <c:pt idx="1">
                  <c:v>9.9999997764825821E-3</c:v>
                </c:pt>
                <c:pt idx="2">
                  <c:v>1.9999999552965164E-2</c:v>
                </c:pt>
                <c:pt idx="3">
                  <c:v>2.9999999329447746E-2</c:v>
                </c:pt>
                <c:pt idx="4">
                  <c:v>3.9999999105930328E-2</c:v>
                </c:pt>
                <c:pt idx="5">
                  <c:v>4.9999997019767761E-2</c:v>
                </c:pt>
                <c:pt idx="6">
                  <c:v>5.9999998658895493E-2</c:v>
                </c:pt>
                <c:pt idx="7">
                  <c:v>7.0000000298023224E-2</c:v>
                </c:pt>
                <c:pt idx="8">
                  <c:v>7.9999998211860657E-2</c:v>
                </c:pt>
                <c:pt idx="9">
                  <c:v>8.999999612569809E-2</c:v>
                </c:pt>
                <c:pt idx="10">
                  <c:v>9.9999994039535522E-2</c:v>
                </c:pt>
                <c:pt idx="11">
                  <c:v>0.10999999940395355</c:v>
                </c:pt>
                <c:pt idx="12">
                  <c:v>0.11999999731779099</c:v>
                </c:pt>
                <c:pt idx="13">
                  <c:v>0.12999999523162842</c:v>
                </c:pt>
                <c:pt idx="14">
                  <c:v>0.14000000059604645</c:v>
                </c:pt>
                <c:pt idx="15">
                  <c:v>0.14999999105930328</c:v>
                </c:pt>
                <c:pt idx="16">
                  <c:v>0.15999999642372131</c:v>
                </c:pt>
                <c:pt idx="17">
                  <c:v>0.17000000178813934</c:v>
                </c:pt>
                <c:pt idx="18">
                  <c:v>0.17999999225139618</c:v>
                </c:pt>
                <c:pt idx="19">
                  <c:v>0.18999999761581421</c:v>
                </c:pt>
                <c:pt idx="20">
                  <c:v>0.19999998807907104</c:v>
                </c:pt>
              </c:numCache>
            </c:numRef>
          </c:cat>
          <c:val>
            <c:numRef>
              <c:f>STS_1!$K$5:$K$25</c:f>
              <c:numCache>
                <c:formatCode>General</c:formatCode>
                <c:ptCount val="21"/>
                <c:pt idx="0">
                  <c:v>445360</c:v>
                </c:pt>
                <c:pt idx="1">
                  <c:v>439119.56</c:v>
                </c:pt>
                <c:pt idx="2">
                  <c:v>433040.22</c:v>
                </c:pt>
                <c:pt idx="3">
                  <c:v>427116.15</c:v>
                </c:pt>
                <c:pt idx="4">
                  <c:v>421341.81</c:v>
                </c:pt>
                <c:pt idx="5">
                  <c:v>415711.91</c:v>
                </c:pt>
                <c:pt idx="6">
                  <c:v>410221.42</c:v>
                </c:pt>
                <c:pt idx="7">
                  <c:v>404865.52</c:v>
                </c:pt>
                <c:pt idx="8">
                  <c:v>399639.64</c:v>
                </c:pt>
                <c:pt idx="9">
                  <c:v>394539.38</c:v>
                </c:pt>
                <c:pt idx="10">
                  <c:v>389560.56</c:v>
                </c:pt>
                <c:pt idx="11">
                  <c:v>384699.17</c:v>
                </c:pt>
                <c:pt idx="12">
                  <c:v>379951.39</c:v>
                </c:pt>
                <c:pt idx="13">
                  <c:v>375313.56</c:v>
                </c:pt>
                <c:pt idx="14">
                  <c:v>370782.15</c:v>
                </c:pt>
                <c:pt idx="15">
                  <c:v>366353.82</c:v>
                </c:pt>
                <c:pt idx="16">
                  <c:v>362025.33</c:v>
                </c:pt>
                <c:pt idx="17">
                  <c:v>357793.61</c:v>
                </c:pt>
                <c:pt idx="18">
                  <c:v>353655.7</c:v>
                </c:pt>
                <c:pt idx="19">
                  <c:v>349608.73</c:v>
                </c:pt>
                <c:pt idx="20">
                  <c:v>345650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37896"/>
        <c:axId val="368134368"/>
      </c:lineChart>
      <c:catAx>
        <c:axId val="368137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Pct suitable increase ($E$7)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368134368"/>
        <c:crosses val="autoZero"/>
        <c:auto val="1"/>
        <c:lblAlgn val="ctr"/>
        <c:lblOffset val="100"/>
        <c:noMultiLvlLbl val="0"/>
      </c:catAx>
      <c:valAx>
        <c:axId val="368134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8137896"/>
        <c:crosses val="autoZero"/>
        <c:crossBetween val="between"/>
      </c:valAx>
    </c:plotArea>
    <c:plotVisOnly val="1"/>
    <c:dispBlanksAs val="gap"/>
    <c:showDLblsOverMax val="0"/>
  </c:chart>
  <c:spPr>
    <a:ln w="19050" cap="flat" cmpd="sng" algn="ctr">
      <a:solidFill>
        <a:schemeClr val="accent1">
          <a:lumMod val="100000"/>
        </a:schemeClr>
      </a:solidFill>
      <a:prstDash val="solid"/>
      <a:round/>
      <a:headEnd type="none" w="med" len="med"/>
      <a:tailEnd type="none" w="med" len="med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STS_2!$K$1</c:f>
          <c:strCache>
            <c:ptCount val="1"/>
            <c:pt idx="0">
              <c:v>Sensitivity of TotCost to Pct spoil decrease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STS_2!$A$5:$A$15</c:f>
              <c:numCache>
                <c:formatCode>0%</c:formatCode>
                <c:ptCount val="11"/>
                <c:pt idx="0">
                  <c:v>0</c:v>
                </c:pt>
                <c:pt idx="1">
                  <c:v>9.9999997764825821E-3</c:v>
                </c:pt>
                <c:pt idx="2">
                  <c:v>1.9999999552965164E-2</c:v>
                </c:pt>
                <c:pt idx="3">
                  <c:v>2.9999999329447746E-2</c:v>
                </c:pt>
                <c:pt idx="4">
                  <c:v>3.9999999105930328E-2</c:v>
                </c:pt>
                <c:pt idx="5">
                  <c:v>4.9999997019767761E-2</c:v>
                </c:pt>
                <c:pt idx="6">
                  <c:v>5.9999998658895493E-2</c:v>
                </c:pt>
                <c:pt idx="7">
                  <c:v>7.0000000298023224E-2</c:v>
                </c:pt>
                <c:pt idx="8">
                  <c:v>7.9999998211860657E-2</c:v>
                </c:pt>
                <c:pt idx="9">
                  <c:v>8.999999612569809E-2</c:v>
                </c:pt>
                <c:pt idx="10">
                  <c:v>9.9999994039535522E-2</c:v>
                </c:pt>
              </c:numCache>
            </c:numRef>
          </c:cat>
          <c:val>
            <c:numRef>
              <c:f>STS_2!$K$5:$K$15</c:f>
              <c:numCache>
                <c:formatCode>General</c:formatCode>
                <c:ptCount val="11"/>
                <c:pt idx="0">
                  <c:v>445360</c:v>
                </c:pt>
                <c:pt idx="1">
                  <c:v>445264</c:v>
                </c:pt>
                <c:pt idx="2">
                  <c:v>445168</c:v>
                </c:pt>
                <c:pt idx="3">
                  <c:v>445072</c:v>
                </c:pt>
                <c:pt idx="4">
                  <c:v>444976</c:v>
                </c:pt>
                <c:pt idx="5">
                  <c:v>444880</c:v>
                </c:pt>
                <c:pt idx="6">
                  <c:v>444784</c:v>
                </c:pt>
                <c:pt idx="7">
                  <c:v>444688</c:v>
                </c:pt>
                <c:pt idx="8">
                  <c:v>444592</c:v>
                </c:pt>
                <c:pt idx="9">
                  <c:v>444496</c:v>
                </c:pt>
                <c:pt idx="10">
                  <c:v>444400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38288"/>
        <c:axId val="368138680"/>
      </c:lineChart>
      <c:catAx>
        <c:axId val="36813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Pct spoil decrease ($E$8)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368138680"/>
        <c:crosses val="autoZero"/>
        <c:auto val="1"/>
        <c:lblAlgn val="ctr"/>
        <c:lblOffset val="100"/>
        <c:noMultiLvlLbl val="0"/>
      </c:catAx>
      <c:valAx>
        <c:axId val="368138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8138288"/>
        <c:crosses val="autoZero"/>
        <c:crossBetween val="between"/>
      </c:valAx>
    </c:plotArea>
    <c:plotVisOnly val="1"/>
    <c:dispBlanksAs val="gap"/>
    <c:showDLblsOverMax val="0"/>
  </c:chart>
  <c:spPr>
    <a:ln w="19050" cap="flat" cmpd="sng" algn="ctr">
      <a:solidFill>
        <a:schemeClr val="accent1">
          <a:lumMod val="100000"/>
        </a:schemeClr>
      </a:solidFill>
      <a:prstDash val="solid"/>
      <a:round/>
      <a:headEnd type="none" w="med" len="med"/>
      <a:tailEnd type="none" w="med" len="med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STS_3!$K$1</c:f>
          <c:strCache>
            <c:ptCount val="1"/>
            <c:pt idx="0">
              <c:v>Sensitivity of TotCost to Pct spoil decrease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STS_3!$B$4:$G$4</c:f>
              <c:numCache>
                <c:formatCode>0%</c:formatCode>
                <c:ptCount val="6"/>
                <c:pt idx="0">
                  <c:v>0</c:v>
                </c:pt>
                <c:pt idx="1">
                  <c:v>1.9999999552965164E-2</c:v>
                </c:pt>
                <c:pt idx="2">
                  <c:v>3.9999999105930328E-2</c:v>
                </c:pt>
                <c:pt idx="3">
                  <c:v>5.9999998658895493E-2</c:v>
                </c:pt>
                <c:pt idx="4">
                  <c:v>7.9999998211860657E-2</c:v>
                </c:pt>
                <c:pt idx="5">
                  <c:v>9.9999994039535522E-2</c:v>
                </c:pt>
              </c:numCache>
            </c:numRef>
          </c:cat>
          <c:val>
            <c:numRef>
              <c:f>STS_3!$K$5:$K$10</c:f>
              <c:numCache>
                <c:formatCode>General</c:formatCode>
                <c:ptCount val="6"/>
                <c:pt idx="0">
                  <c:v>445360</c:v>
                </c:pt>
                <c:pt idx="1">
                  <c:v>445168</c:v>
                </c:pt>
                <c:pt idx="2">
                  <c:v>444976</c:v>
                </c:pt>
                <c:pt idx="3">
                  <c:v>444784</c:v>
                </c:pt>
                <c:pt idx="4">
                  <c:v>444592</c:v>
                </c:pt>
                <c:pt idx="5">
                  <c:v>444400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686632"/>
        <c:axId val="549687024"/>
      </c:lineChart>
      <c:catAx>
        <c:axId val="549686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Pct spoil decrease ($E$8)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549687024"/>
        <c:crosses val="autoZero"/>
        <c:auto val="1"/>
        <c:lblAlgn val="ctr"/>
        <c:lblOffset val="100"/>
        <c:noMultiLvlLbl val="0"/>
      </c:catAx>
      <c:valAx>
        <c:axId val="549687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9686632"/>
        <c:crosses val="autoZero"/>
        <c:crossBetween val="between"/>
      </c:valAx>
    </c:plotArea>
    <c:plotVisOnly val="1"/>
    <c:dispBlanksAs val="gap"/>
    <c:showDLblsOverMax val="0"/>
  </c:chart>
  <c:spPr>
    <a:ln w="19050" cap="flat" cmpd="sng" algn="ctr">
      <a:solidFill>
        <a:schemeClr val="accent1">
          <a:lumMod val="100000"/>
        </a:schemeClr>
      </a:solidFill>
      <a:prstDash val="solid"/>
      <a:round/>
      <a:headEnd type="none" w="med" len="med"/>
      <a:tailEnd type="none" w="med" len="med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STS_3!$O$1</c:f>
          <c:strCache>
            <c:ptCount val="1"/>
            <c:pt idx="0">
              <c:v>Sensitivity of TotCost to Pct suitable increase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STS_3!$A$5:$A$15</c:f>
              <c:numCache>
                <c:formatCode>0%</c:formatCode>
                <c:ptCount val="11"/>
                <c:pt idx="0">
                  <c:v>0</c:v>
                </c:pt>
                <c:pt idx="1">
                  <c:v>1.9999999552965164E-2</c:v>
                </c:pt>
                <c:pt idx="2">
                  <c:v>3.9999999105930328E-2</c:v>
                </c:pt>
                <c:pt idx="3">
                  <c:v>5.9999998658895493E-2</c:v>
                </c:pt>
                <c:pt idx="4">
                  <c:v>7.9999998211860657E-2</c:v>
                </c:pt>
                <c:pt idx="5">
                  <c:v>9.9999994039535522E-2</c:v>
                </c:pt>
                <c:pt idx="6">
                  <c:v>0.11999999731779099</c:v>
                </c:pt>
                <c:pt idx="7">
                  <c:v>0.14000000059604645</c:v>
                </c:pt>
                <c:pt idx="8">
                  <c:v>0.15999999642372131</c:v>
                </c:pt>
                <c:pt idx="9">
                  <c:v>0.17999999225139618</c:v>
                </c:pt>
                <c:pt idx="10">
                  <c:v>0.19999998807907104</c:v>
                </c:pt>
              </c:numCache>
            </c:numRef>
          </c:cat>
          <c:val>
            <c:numRef>
              <c:f>STS_3!$O$5:$O$15</c:f>
              <c:numCache>
                <c:formatCode>General</c:formatCode>
                <c:ptCount val="11"/>
                <c:pt idx="0">
                  <c:v>445360</c:v>
                </c:pt>
                <c:pt idx="1">
                  <c:v>433040.22</c:v>
                </c:pt>
                <c:pt idx="2">
                  <c:v>421341.81</c:v>
                </c:pt>
                <c:pt idx="3">
                  <c:v>410221.42</c:v>
                </c:pt>
                <c:pt idx="4">
                  <c:v>399639.64</c:v>
                </c:pt>
                <c:pt idx="5">
                  <c:v>389560.56</c:v>
                </c:pt>
                <c:pt idx="6">
                  <c:v>379951.39</c:v>
                </c:pt>
                <c:pt idx="7">
                  <c:v>370782.15</c:v>
                </c:pt>
                <c:pt idx="8">
                  <c:v>362025.33</c:v>
                </c:pt>
                <c:pt idx="9">
                  <c:v>353655.7</c:v>
                </c:pt>
                <c:pt idx="10">
                  <c:v>345650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685456"/>
        <c:axId val="549685064"/>
      </c:lineChart>
      <c:catAx>
        <c:axId val="54968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Pct suitable increase ($E$7)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549685064"/>
        <c:crosses val="autoZero"/>
        <c:auto val="1"/>
        <c:lblAlgn val="ctr"/>
        <c:lblOffset val="100"/>
        <c:noMultiLvlLbl val="0"/>
      </c:catAx>
      <c:valAx>
        <c:axId val="549685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9685456"/>
        <c:crosses val="autoZero"/>
        <c:crossBetween val="between"/>
      </c:valAx>
    </c:plotArea>
    <c:plotVisOnly val="1"/>
    <c:dispBlanksAs val="gap"/>
    <c:showDLblsOverMax val="0"/>
  </c:chart>
  <c:spPr>
    <a:ln w="19050" cap="flat" cmpd="sng" algn="ctr">
      <a:solidFill>
        <a:schemeClr val="accent1">
          <a:lumMod val="100000"/>
        </a:schemeClr>
      </a:solidFill>
      <a:prstDash val="solid"/>
      <a:round/>
      <a:headEnd type="none" w="med" len="med"/>
      <a:tailEnd type="none" w="med" len="med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6</xdr:row>
      <xdr:rowOff>104775</xdr:rowOff>
    </xdr:from>
    <xdr:to>
      <xdr:col>5</xdr:col>
      <xdr:colOff>495300</xdr:colOff>
      <xdr:row>6</xdr:row>
      <xdr:rowOff>106363</xdr:rowOff>
    </xdr:to>
    <xdr:cxnSp macro="">
      <xdr:nvCxnSpPr>
        <xdr:cNvPr id="3" name="Straight Arrow Connector 2"/>
        <xdr:cNvCxnSpPr/>
      </xdr:nvCxnSpPr>
      <xdr:spPr>
        <a:xfrm rot="10800000">
          <a:off x="4552950" y="1247775"/>
          <a:ext cx="3619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142875</xdr:colOff>
      <xdr:row>7</xdr:row>
      <xdr:rowOff>114300</xdr:rowOff>
    </xdr:from>
    <xdr:to>
      <xdr:col>5</xdr:col>
      <xdr:colOff>504825</xdr:colOff>
      <xdr:row>7</xdr:row>
      <xdr:rowOff>115888</xdr:rowOff>
    </xdr:to>
    <xdr:cxnSp macro="">
      <xdr:nvCxnSpPr>
        <xdr:cNvPr id="4" name="Straight Arrow Connector 3"/>
        <xdr:cNvCxnSpPr/>
      </xdr:nvCxnSpPr>
      <xdr:spPr>
        <a:xfrm rot="10800000">
          <a:off x="4562475" y="1447800"/>
          <a:ext cx="3619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26</xdr:row>
      <xdr:rowOff>0</xdr:rowOff>
    </xdr:from>
    <xdr:to>
      <xdr:col>18</xdr:col>
      <xdr:colOff>0</xdr:colOff>
      <xdr:row>41</xdr:row>
      <xdr:rowOff>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3</xdr:row>
      <xdr:rowOff>657225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657225"/>
        </a:xfrm>
        <a:prstGeom prst="rect">
          <a:avLst/>
        </a:prstGeom>
        <a:ln w="19050" cap="flat" cmpd="sng" algn="ctr">
          <a:solidFill>
            <a:schemeClr val="accent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>
          <a:noAutofit/>
        </a:bodyPr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4</xdr:col>
      <xdr:colOff>19050</xdr:colOff>
      <xdr:row>9</xdr:row>
      <xdr:rowOff>19050</xdr:rowOff>
    </xdr:from>
    <xdr:to>
      <xdr:col>8</xdr:col>
      <xdr:colOff>320040</xdr:colOff>
      <xdr:row>16</xdr:row>
      <xdr:rowOff>68580</xdr:rowOff>
    </xdr:to>
    <xdr:sp macro="" textlink="">
      <xdr:nvSpPr>
        <xdr:cNvPr id="4" name="TextBox 3"/>
        <xdr:cNvSpPr txBox="1"/>
      </xdr:nvSpPr>
      <xdr:spPr>
        <a:xfrm>
          <a:off x="2457450" y="2678430"/>
          <a:ext cx="2739390" cy="132969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Clearly, increasing the percent suitable has a much larger effect on cost than decreasing the percent that spoil.  (Compare this sheet with the next one.) This is also apparent in the two-way table on the last sheet.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16</xdr:row>
      <xdr:rowOff>0</xdr:rowOff>
    </xdr:from>
    <xdr:to>
      <xdr:col>18</xdr:col>
      <xdr:colOff>0</xdr:colOff>
      <xdr:row>31</xdr:row>
      <xdr:rowOff>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3</xdr:row>
      <xdr:rowOff>685800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685800"/>
        </a:xfrm>
        <a:prstGeom prst="rect">
          <a:avLst/>
        </a:prstGeom>
        <a:ln w="19050" cap="flat" cmpd="sng" algn="ctr">
          <a:solidFill>
            <a:schemeClr val="accent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>
          <a:noAutofit/>
        </a:bodyPr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16</xdr:row>
      <xdr:rowOff>0</xdr:rowOff>
    </xdr:from>
    <xdr:to>
      <xdr:col>17</xdr:col>
      <xdr:colOff>0</xdr:colOff>
      <xdr:row>31</xdr:row>
      <xdr:rowOff>0</xdr:rowOff>
    </xdr:to>
    <xdr:graphicFrame macro="">
      <xdr:nvGraphicFramePr>
        <xdr:cNvPr id="2" name="STS_3_Chart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16</xdr:row>
      <xdr:rowOff>0</xdr:rowOff>
    </xdr:from>
    <xdr:to>
      <xdr:col>26</xdr:col>
      <xdr:colOff>0</xdr:colOff>
      <xdr:row>31</xdr:row>
      <xdr:rowOff>0</xdr:rowOff>
    </xdr:to>
    <xdr:graphicFrame macro="">
      <xdr:nvGraphicFramePr>
        <xdr:cNvPr id="3" name="STS_3_Chart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3</xdr:row>
      <xdr:rowOff>0</xdr:rowOff>
    </xdr:from>
    <xdr:to>
      <xdr:col>24</xdr:col>
      <xdr:colOff>0</xdr:colOff>
      <xdr:row>5</xdr:row>
      <xdr:rowOff>0</xdr:rowOff>
    </xdr:to>
    <xdr:sp macro="" textlink="">
      <xdr:nvSpPr>
        <xdr:cNvPr id="4" name="TextBox 3"/>
        <xdr:cNvSpPr txBox="1"/>
      </xdr:nvSpPr>
      <xdr:spPr>
        <a:xfrm>
          <a:off x="10877550" y="571500"/>
          <a:ext cx="3657600" cy="704850"/>
        </a:xfrm>
        <a:prstGeom prst="rect">
          <a:avLst/>
        </a:prstGeom>
        <a:ln w="19050" cap="flat" cmpd="sng" algn="ctr">
          <a:solidFill>
            <a:schemeClr val="accent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>
          <a:noAutofit/>
        </a:bodyPr>
        <a:lstStyle/>
        <a:p>
          <a:r>
            <a:rPr lang="en-US" sz="1100"/>
            <a:t>By making appropriate selections in cells $K$4, $L$4, $O$4, and $P$4, you can chart any row (in left chart) or column (in right chart) of any table to the left.</a:t>
          </a:r>
        </a:p>
      </xdr:txBody>
    </xdr:sp>
    <xdr:clientData/>
  </xdr:twoCellAnchor>
  <xdr:twoCellAnchor>
    <xdr:from>
      <xdr:col>1</xdr:col>
      <xdr:colOff>209550</xdr:colOff>
      <xdr:row>30</xdr:row>
      <xdr:rowOff>57151</xdr:rowOff>
    </xdr:from>
    <xdr:to>
      <xdr:col>6</xdr:col>
      <xdr:colOff>523875</xdr:colOff>
      <xdr:row>37</xdr:row>
      <xdr:rowOff>114301</xdr:rowOff>
    </xdr:to>
    <xdr:sp macro="" textlink="">
      <xdr:nvSpPr>
        <xdr:cNvPr id="5" name="TextBox 4"/>
        <xdr:cNvSpPr txBox="1"/>
      </xdr:nvSpPr>
      <xdr:spPr>
        <a:xfrm>
          <a:off x="723900" y="6086476"/>
          <a:ext cx="3362325" cy="139065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</a:t>
          </a:r>
          <a:r>
            <a:rPr lang="en-US" sz="1100" baseline="0"/>
            <a:t> two-way table indicates that the effects are </a:t>
          </a:r>
          <a:r>
            <a:rPr lang="en-US" sz="1100" i="1" baseline="0"/>
            <a:t>not </a:t>
          </a:r>
          <a:r>
            <a:rPr lang="en-US" sz="1100" i="0" baseline="0"/>
            <a:t>additive. For example, from the STS_1 sheet, the reduction in cost from eliminating unsuitable items is $99,710, and from the STS_2 sheet, the reduction in cost from eliminating spoilage is $960. But from this sheet, the effect of eliminating both is $102,860, slightly greater than the two individual reductions.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31"/>
  <sheetViews>
    <sheetView tabSelected="1" workbookViewId="0"/>
  </sheetViews>
  <sheetFormatPr defaultColWidth="9.109375" defaultRowHeight="14.4" x14ac:dyDescent="0.3"/>
  <cols>
    <col min="1" max="1" width="29.6640625" style="2" customWidth="1"/>
    <col min="2" max="16384" width="9.109375" style="2"/>
  </cols>
  <sheetData>
    <row r="1" spans="1:7" x14ac:dyDescent="0.3">
      <c r="A1" s="1" t="s">
        <v>22</v>
      </c>
      <c r="F1" s="1"/>
    </row>
    <row r="2" spans="1:7" x14ac:dyDescent="0.3">
      <c r="F2" s="3"/>
      <c r="G2" s="3"/>
    </row>
    <row r="3" spans="1:7" x14ac:dyDescent="0.3">
      <c r="A3" s="2" t="s">
        <v>0</v>
      </c>
      <c r="B3" s="4">
        <v>40</v>
      </c>
      <c r="F3" s="3"/>
      <c r="G3" s="3"/>
    </row>
    <row r="4" spans="1:7" x14ac:dyDescent="0.3">
      <c r="A4" s="2" t="s">
        <v>1</v>
      </c>
      <c r="B4" s="4">
        <v>60</v>
      </c>
      <c r="F4" s="3"/>
      <c r="G4" s="3"/>
    </row>
    <row r="5" spans="1:7" x14ac:dyDescent="0.3">
      <c r="A5" s="2" t="s">
        <v>2</v>
      </c>
      <c r="B5" s="4">
        <v>15</v>
      </c>
      <c r="F5" s="3"/>
      <c r="G5" s="3"/>
    </row>
    <row r="6" spans="1:7" x14ac:dyDescent="0.3">
      <c r="F6" s="3"/>
      <c r="G6" s="3"/>
    </row>
    <row r="7" spans="1:7" x14ac:dyDescent="0.3">
      <c r="A7" s="2" t="s">
        <v>3</v>
      </c>
      <c r="B7" s="5">
        <v>0.8</v>
      </c>
      <c r="F7" s="3"/>
      <c r="G7" s="3"/>
    </row>
    <row r="8" spans="1:7" x14ac:dyDescent="0.3">
      <c r="A8" s="2" t="s">
        <v>4</v>
      </c>
      <c r="B8" s="5">
        <v>0.1</v>
      </c>
      <c r="F8" s="3"/>
      <c r="G8" s="3"/>
    </row>
    <row r="10" spans="1:7" x14ac:dyDescent="0.3">
      <c r="A10" s="2" t="s">
        <v>5</v>
      </c>
      <c r="B10" s="6">
        <v>1000</v>
      </c>
      <c r="F10" s="1"/>
    </row>
    <row r="11" spans="1:7" x14ac:dyDescent="0.3">
      <c r="F11" s="7"/>
      <c r="G11" s="8"/>
    </row>
    <row r="12" spans="1:7" x14ac:dyDescent="0.3">
      <c r="A12" s="1" t="s">
        <v>6</v>
      </c>
      <c r="F12" s="7"/>
      <c r="G12" s="8"/>
    </row>
    <row r="13" spans="1:7" x14ac:dyDescent="0.3">
      <c r="A13" s="2" t="s">
        <v>7</v>
      </c>
      <c r="B13" s="2">
        <v>1</v>
      </c>
      <c r="C13" s="2">
        <v>2</v>
      </c>
      <c r="D13" s="2">
        <v>3</v>
      </c>
      <c r="F13" s="7"/>
      <c r="G13" s="8"/>
    </row>
    <row r="14" spans="1:7" x14ac:dyDescent="0.3">
      <c r="A14" s="2" t="s">
        <v>8</v>
      </c>
      <c r="B14" s="9">
        <v>2500.0000000004925</v>
      </c>
      <c r="C14" s="9">
        <v>2700</v>
      </c>
      <c r="D14" s="9">
        <v>2700</v>
      </c>
      <c r="F14" s="7"/>
      <c r="G14" s="8"/>
    </row>
    <row r="15" spans="1:7" x14ac:dyDescent="0.3">
      <c r="B15" s="10" t="s">
        <v>9</v>
      </c>
      <c r="C15" s="10" t="s">
        <v>9</v>
      </c>
      <c r="D15" s="10" t="s">
        <v>9</v>
      </c>
      <c r="F15" s="7"/>
      <c r="G15" s="8"/>
    </row>
    <row r="16" spans="1:7" x14ac:dyDescent="0.3">
      <c r="A16" s="2" t="s">
        <v>10</v>
      </c>
      <c r="B16" s="6">
        <v>2700</v>
      </c>
      <c r="C16" s="6">
        <v>2700</v>
      </c>
      <c r="D16" s="6">
        <v>2700</v>
      </c>
      <c r="F16" s="7"/>
      <c r="G16" s="8"/>
    </row>
    <row r="17" spans="1:7" x14ac:dyDescent="0.3">
      <c r="F17" s="7"/>
      <c r="G17" s="8"/>
    </row>
    <row r="18" spans="1:7" x14ac:dyDescent="0.3">
      <c r="A18" s="2" t="s">
        <v>11</v>
      </c>
      <c r="B18" s="9">
        <v>0</v>
      </c>
      <c r="C18" s="9">
        <v>0</v>
      </c>
      <c r="D18" s="9">
        <v>2119.9999999306115</v>
      </c>
      <c r="F18" s="7"/>
      <c r="G18" s="8"/>
    </row>
    <row r="19" spans="1:7" x14ac:dyDescent="0.3">
      <c r="F19" s="7"/>
      <c r="G19" s="8"/>
    </row>
    <row r="20" spans="1:7" x14ac:dyDescent="0.3">
      <c r="A20" s="2" t="s">
        <v>21</v>
      </c>
      <c r="B20" s="2">
        <f>B10+$B$7*(B14+B18)</f>
        <v>3000.0000000003938</v>
      </c>
      <c r="C20" s="2">
        <f>B26+$B$7*(C14+C18)</f>
        <v>2160.0000000003542</v>
      </c>
      <c r="D20" s="2">
        <f>C26+$B$7*(D14+D18)</f>
        <v>3999.9999999448078</v>
      </c>
      <c r="F20" s="7"/>
      <c r="G20" s="8"/>
    </row>
    <row r="21" spans="1:7" x14ac:dyDescent="0.3">
      <c r="B21" s="10" t="s">
        <v>12</v>
      </c>
      <c r="C21" s="10" t="s">
        <v>12</v>
      </c>
      <c r="D21" s="10" t="s">
        <v>12</v>
      </c>
      <c r="F21" s="7"/>
      <c r="G21" s="8"/>
    </row>
    <row r="22" spans="1:7" x14ac:dyDescent="0.3">
      <c r="A22" s="2" t="s">
        <v>13</v>
      </c>
      <c r="B22" s="6">
        <v>3000</v>
      </c>
      <c r="C22" s="6">
        <v>2000</v>
      </c>
      <c r="D22" s="6">
        <v>4000</v>
      </c>
      <c r="F22" s="7"/>
      <c r="G22" s="8"/>
    </row>
    <row r="23" spans="1:7" x14ac:dyDescent="0.3">
      <c r="F23" s="7"/>
      <c r="G23" s="8"/>
    </row>
    <row r="24" spans="1:7" x14ac:dyDescent="0.3">
      <c r="A24" s="2" t="s">
        <v>14</v>
      </c>
      <c r="B24" s="11">
        <f>B20-B22</f>
        <v>3.9381120586767793E-10</v>
      </c>
      <c r="C24" s="2">
        <f>C20-C22</f>
        <v>160.00000000035425</v>
      </c>
      <c r="D24" s="11">
        <f>D20-D22</f>
        <v>-5.5192231229739264E-8</v>
      </c>
      <c r="F24" s="7"/>
      <c r="G24" s="8"/>
    </row>
    <row r="25" spans="1:7" x14ac:dyDescent="0.3">
      <c r="A25" s="2" t="s">
        <v>15</v>
      </c>
      <c r="B25" s="11">
        <f>$B$8*B24</f>
        <v>3.9381120586767797E-11</v>
      </c>
      <c r="C25" s="2">
        <f>$B$8*C24</f>
        <v>16.000000000035424</v>
      </c>
      <c r="D25" s="11">
        <f>$B$8*D24</f>
        <v>-5.519223122973927E-9</v>
      </c>
      <c r="F25" s="7"/>
      <c r="G25" s="8"/>
    </row>
    <row r="26" spans="1:7" x14ac:dyDescent="0.3">
      <c r="A26" s="2" t="s">
        <v>16</v>
      </c>
      <c r="B26" s="11">
        <f>B24-B25</f>
        <v>3.5443008528091012E-10</v>
      </c>
      <c r="C26" s="2">
        <f>C24-C25</f>
        <v>144.00000000031883</v>
      </c>
      <c r="D26" s="11">
        <f>D24-D25</f>
        <v>-4.967300810676534E-8</v>
      </c>
      <c r="F26" s="7"/>
      <c r="G26" s="8"/>
    </row>
    <row r="28" spans="1:7" x14ac:dyDescent="0.3">
      <c r="A28" s="2" t="s">
        <v>17</v>
      </c>
      <c r="B28" s="12">
        <f>B3*SUM(RTProd)</f>
        <v>316000.00000001973</v>
      </c>
    </row>
    <row r="29" spans="1:7" x14ac:dyDescent="0.3">
      <c r="A29" s="2" t="s">
        <v>18</v>
      </c>
      <c r="B29" s="12">
        <f>B4*SUM(OTProd)</f>
        <v>127199.99999583668</v>
      </c>
    </row>
    <row r="30" spans="1:7" x14ac:dyDescent="0.3">
      <c r="A30" s="2" t="s">
        <v>19</v>
      </c>
      <c r="B30" s="12">
        <f>B5*SUM(Ending)</f>
        <v>2159.9999992650037</v>
      </c>
    </row>
    <row r="31" spans="1:7" x14ac:dyDescent="0.3">
      <c r="A31" s="2" t="s">
        <v>20</v>
      </c>
      <c r="B31" s="13">
        <f>SUM(B28:B30)</f>
        <v>445359.99999512144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2.22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G31"/>
  <sheetViews>
    <sheetView workbookViewId="0"/>
  </sheetViews>
  <sheetFormatPr defaultColWidth="9.109375" defaultRowHeight="14.4" x14ac:dyDescent="0.3"/>
  <cols>
    <col min="1" max="1" width="29.6640625" style="2" customWidth="1"/>
    <col min="2" max="16384" width="9.109375" style="2"/>
  </cols>
  <sheetData>
    <row r="1" spans="1:7" x14ac:dyDescent="0.3">
      <c r="A1" s="1" t="s">
        <v>22</v>
      </c>
      <c r="F1" s="1"/>
    </row>
    <row r="2" spans="1:7" x14ac:dyDescent="0.3">
      <c r="F2" s="3"/>
      <c r="G2" s="3"/>
    </row>
    <row r="3" spans="1:7" x14ac:dyDescent="0.3">
      <c r="A3" s="2" t="s">
        <v>0</v>
      </c>
      <c r="B3" s="4">
        <v>40</v>
      </c>
      <c r="F3" s="3"/>
      <c r="G3" s="3"/>
    </row>
    <row r="4" spans="1:7" x14ac:dyDescent="0.3">
      <c r="A4" s="2" t="s">
        <v>1</v>
      </c>
      <c r="B4" s="4">
        <v>60</v>
      </c>
      <c r="F4" s="3"/>
      <c r="G4" s="3"/>
    </row>
    <row r="5" spans="1:7" x14ac:dyDescent="0.3">
      <c r="A5" s="2" t="s">
        <v>2</v>
      </c>
      <c r="B5" s="4">
        <v>15</v>
      </c>
      <c r="F5" s="3"/>
      <c r="G5" s="3"/>
    </row>
    <row r="6" spans="1:7" x14ac:dyDescent="0.3">
      <c r="D6" s="10" t="s">
        <v>23</v>
      </c>
      <c r="E6" s="10" t="s">
        <v>24</v>
      </c>
      <c r="F6" s="3"/>
      <c r="G6" s="3"/>
    </row>
    <row r="7" spans="1:7" x14ac:dyDescent="0.3">
      <c r="A7" s="2" t="s">
        <v>3</v>
      </c>
      <c r="B7" s="15">
        <f t="shared" ref="B7" si="0">D7+E7</f>
        <v>0.8</v>
      </c>
      <c r="D7" s="5">
        <v>0.8</v>
      </c>
      <c r="E7" s="14">
        <v>0</v>
      </c>
      <c r="F7" s="3"/>
      <c r="G7" s="3" t="s">
        <v>45</v>
      </c>
    </row>
    <row r="8" spans="1:7" x14ac:dyDescent="0.3">
      <c r="A8" s="2" t="s">
        <v>4</v>
      </c>
      <c r="B8" s="15">
        <f>D8-E8</f>
        <v>0.1</v>
      </c>
      <c r="D8" s="5">
        <v>0.1</v>
      </c>
      <c r="E8" s="14">
        <v>0</v>
      </c>
      <c r="F8" s="3"/>
      <c r="G8" s="3" t="s">
        <v>46</v>
      </c>
    </row>
    <row r="10" spans="1:7" x14ac:dyDescent="0.3">
      <c r="A10" s="2" t="s">
        <v>5</v>
      </c>
      <c r="B10" s="6">
        <v>1000</v>
      </c>
      <c r="F10" s="1"/>
    </row>
    <row r="11" spans="1:7" x14ac:dyDescent="0.3">
      <c r="F11" s="7"/>
      <c r="G11" s="8"/>
    </row>
    <row r="12" spans="1:7" x14ac:dyDescent="0.3">
      <c r="A12" s="1" t="s">
        <v>6</v>
      </c>
      <c r="F12" s="7"/>
      <c r="G12" s="8"/>
    </row>
    <row r="13" spans="1:7" x14ac:dyDescent="0.3">
      <c r="A13" s="2" t="s">
        <v>7</v>
      </c>
      <c r="B13" s="2">
        <v>1</v>
      </c>
      <c r="C13" s="2">
        <v>2</v>
      </c>
      <c r="D13" s="2">
        <v>3</v>
      </c>
      <c r="F13" s="7"/>
      <c r="G13" s="8"/>
    </row>
    <row r="14" spans="1:7" x14ac:dyDescent="0.3">
      <c r="A14" s="2" t="s">
        <v>8</v>
      </c>
      <c r="B14" s="9">
        <v>2500</v>
      </c>
      <c r="C14" s="9">
        <v>2700</v>
      </c>
      <c r="D14" s="9">
        <v>2700</v>
      </c>
      <c r="F14" s="7"/>
      <c r="G14" s="8"/>
    </row>
    <row r="15" spans="1:7" x14ac:dyDescent="0.3">
      <c r="B15" s="10" t="s">
        <v>9</v>
      </c>
      <c r="C15" s="10" t="s">
        <v>9</v>
      </c>
      <c r="D15" s="10" t="s">
        <v>9</v>
      </c>
      <c r="F15" s="7"/>
      <c r="G15" s="8"/>
    </row>
    <row r="16" spans="1:7" x14ac:dyDescent="0.3">
      <c r="A16" s="2" t="s">
        <v>10</v>
      </c>
      <c r="B16" s="6">
        <v>2700</v>
      </c>
      <c r="C16" s="6">
        <v>2700</v>
      </c>
      <c r="D16" s="6">
        <v>2700</v>
      </c>
      <c r="F16" s="7"/>
      <c r="G16" s="8"/>
    </row>
    <row r="17" spans="1:7" x14ac:dyDescent="0.3">
      <c r="F17" s="7"/>
      <c r="G17" s="8"/>
    </row>
    <row r="18" spans="1:7" x14ac:dyDescent="0.3">
      <c r="A18" s="2" t="s">
        <v>11</v>
      </c>
      <c r="B18" s="9">
        <v>0</v>
      </c>
      <c r="C18" s="9">
        <v>0</v>
      </c>
      <c r="D18" s="9">
        <v>2120</v>
      </c>
      <c r="F18" s="7"/>
      <c r="G18" s="8"/>
    </row>
    <row r="19" spans="1:7" x14ac:dyDescent="0.3">
      <c r="F19" s="7"/>
      <c r="G19" s="8"/>
    </row>
    <row r="20" spans="1:7" x14ac:dyDescent="0.3">
      <c r="A20" s="2" t="s">
        <v>21</v>
      </c>
      <c r="B20" s="2">
        <f>B10+$B$7*(B14+B18)</f>
        <v>3000</v>
      </c>
      <c r="C20" s="2">
        <f>B26+$B$7*(C14+C18)</f>
        <v>2160</v>
      </c>
      <c r="D20" s="2">
        <f>C26+$B$7*(D14+D18)</f>
        <v>4000</v>
      </c>
      <c r="F20" s="7"/>
      <c r="G20" s="8"/>
    </row>
    <row r="21" spans="1:7" x14ac:dyDescent="0.3">
      <c r="B21" s="10" t="s">
        <v>12</v>
      </c>
      <c r="C21" s="10" t="s">
        <v>12</v>
      </c>
      <c r="D21" s="10" t="s">
        <v>12</v>
      </c>
      <c r="F21" s="7"/>
      <c r="G21" s="8"/>
    </row>
    <row r="22" spans="1:7" x14ac:dyDescent="0.3">
      <c r="A22" s="2" t="s">
        <v>13</v>
      </c>
      <c r="B22" s="6">
        <v>3000</v>
      </c>
      <c r="C22" s="6">
        <v>2000</v>
      </c>
      <c r="D22" s="6">
        <v>4000</v>
      </c>
      <c r="F22" s="7"/>
      <c r="G22" s="8"/>
    </row>
    <row r="23" spans="1:7" x14ac:dyDescent="0.3">
      <c r="F23" s="7"/>
      <c r="G23" s="8"/>
    </row>
    <row r="24" spans="1:7" x14ac:dyDescent="0.3">
      <c r="A24" s="2" t="s">
        <v>14</v>
      </c>
      <c r="B24" s="11">
        <f>B20-B22</f>
        <v>0</v>
      </c>
      <c r="C24" s="2">
        <f>C20-C22</f>
        <v>160</v>
      </c>
      <c r="D24" s="11">
        <f>D20-D22</f>
        <v>0</v>
      </c>
      <c r="F24" s="7"/>
      <c r="G24" s="8"/>
    </row>
    <row r="25" spans="1:7" x14ac:dyDescent="0.3">
      <c r="A25" s="2" t="s">
        <v>15</v>
      </c>
      <c r="B25" s="11">
        <f>$B$8*B24</f>
        <v>0</v>
      </c>
      <c r="C25" s="2">
        <f>$B$8*C24</f>
        <v>16</v>
      </c>
      <c r="D25" s="11">
        <f>$B$8*D24</f>
        <v>0</v>
      </c>
      <c r="F25" s="7"/>
      <c r="G25" s="8"/>
    </row>
    <row r="26" spans="1:7" x14ac:dyDescent="0.3">
      <c r="A26" s="2" t="s">
        <v>16</v>
      </c>
      <c r="B26" s="11">
        <f>B24-B25</f>
        <v>0</v>
      </c>
      <c r="C26" s="2">
        <f>C24-C25</f>
        <v>144</v>
      </c>
      <c r="D26" s="11">
        <f>D24-D25</f>
        <v>0</v>
      </c>
      <c r="F26" s="7"/>
      <c r="G26" s="8"/>
    </row>
    <row r="28" spans="1:7" x14ac:dyDescent="0.3">
      <c r="A28" s="2" t="s">
        <v>17</v>
      </c>
      <c r="B28" s="12">
        <f>B3*SUM(RTProd)</f>
        <v>316000</v>
      </c>
    </row>
    <row r="29" spans="1:7" x14ac:dyDescent="0.3">
      <c r="A29" s="2" t="s">
        <v>18</v>
      </c>
      <c r="B29" s="12">
        <f>B4*SUM(OTProd)</f>
        <v>127200</v>
      </c>
    </row>
    <row r="30" spans="1:7" x14ac:dyDescent="0.3">
      <c r="A30" s="2" t="s">
        <v>19</v>
      </c>
      <c r="B30" s="12">
        <f>B5*SUM(Ending)</f>
        <v>2160</v>
      </c>
    </row>
    <row r="31" spans="1:7" x14ac:dyDescent="0.3">
      <c r="A31" s="2" t="s">
        <v>20</v>
      </c>
      <c r="B31" s="13">
        <f>SUM(B28:B30)</f>
        <v>445360</v>
      </c>
    </row>
  </sheetData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2.22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8"/>
  <sheetViews>
    <sheetView workbookViewId="0"/>
  </sheetViews>
  <sheetFormatPr defaultRowHeight="14.4" x14ac:dyDescent="0.3"/>
  <sheetData>
    <row r="1" spans="1:2" x14ac:dyDescent="0.3">
      <c r="A1">
        <v>1</v>
      </c>
      <c r="B1">
        <v>1</v>
      </c>
    </row>
    <row r="2" spans="1:2" x14ac:dyDescent="0.3">
      <c r="A2" t="s">
        <v>33</v>
      </c>
      <c r="B2" t="s">
        <v>25</v>
      </c>
    </row>
    <row r="3" spans="1:2" x14ac:dyDescent="0.3">
      <c r="A3">
        <v>1</v>
      </c>
      <c r="B3">
        <v>1</v>
      </c>
    </row>
    <row r="4" spans="1:2" x14ac:dyDescent="0.3">
      <c r="A4">
        <v>0</v>
      </c>
      <c r="B4">
        <v>0</v>
      </c>
    </row>
    <row r="5" spans="1:2" x14ac:dyDescent="0.3">
      <c r="A5">
        <v>0.1</v>
      </c>
      <c r="B5">
        <v>0.2</v>
      </c>
    </row>
    <row r="6" spans="1:2" x14ac:dyDescent="0.3">
      <c r="A6">
        <v>0.01</v>
      </c>
      <c r="B6">
        <v>0.02</v>
      </c>
    </row>
    <row r="8" spans="1:2" x14ac:dyDescent="0.3">
      <c r="A8" s="16"/>
      <c r="B8" s="16" t="s">
        <v>36</v>
      </c>
    </row>
    <row r="9" spans="1:2" x14ac:dyDescent="0.3">
      <c r="A9" t="s">
        <v>26</v>
      </c>
      <c r="B9" t="s">
        <v>33</v>
      </c>
    </row>
    <row r="10" spans="1:2" x14ac:dyDescent="0.3">
      <c r="A10" t="s">
        <v>34</v>
      </c>
      <c r="B10">
        <v>1</v>
      </c>
    </row>
    <row r="11" spans="1:2" x14ac:dyDescent="0.3">
      <c r="B11">
        <v>0</v>
      </c>
    </row>
    <row r="12" spans="1:2" x14ac:dyDescent="0.3">
      <c r="B12">
        <v>0.1</v>
      </c>
    </row>
    <row r="13" spans="1:2" x14ac:dyDescent="0.3">
      <c r="B13">
        <v>0.02</v>
      </c>
    </row>
    <row r="15" spans="1:2" x14ac:dyDescent="0.3">
      <c r="B15" s="16" t="s">
        <v>36</v>
      </c>
    </row>
    <row r="16" spans="1:2" x14ac:dyDescent="0.3">
      <c r="B16" t="s">
        <v>26</v>
      </c>
    </row>
    <row r="17" spans="2:2" x14ac:dyDescent="0.3">
      <c r="B17" t="s">
        <v>30</v>
      </c>
    </row>
    <row r="18" spans="2:2" x14ac:dyDescent="0.3">
      <c r="B18" t="s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K25"/>
  <sheetViews>
    <sheetView workbookViewId="0"/>
  </sheetViews>
  <sheetFormatPr defaultRowHeight="14.4" x14ac:dyDescent="0.3"/>
  <sheetData>
    <row r="1" spans="1:11" x14ac:dyDescent="0.3">
      <c r="A1" s="17" t="s">
        <v>27</v>
      </c>
      <c r="K1" s="21" t="str">
        <f>CONCATENATE("Sensitivity of ",$K$4," to ","Pct suitable increase")</f>
        <v>Sensitivity of TotCost to Pct suitable increase</v>
      </c>
    </row>
    <row r="3" spans="1:11" x14ac:dyDescent="0.3">
      <c r="A3" t="s">
        <v>31</v>
      </c>
      <c r="K3" t="s">
        <v>29</v>
      </c>
    </row>
    <row r="4" spans="1:11" ht="94.2" x14ac:dyDescent="0.3">
      <c r="B4" s="19" t="s">
        <v>28</v>
      </c>
      <c r="C4" s="19" t="s">
        <v>32</v>
      </c>
      <c r="J4" s="21">
        <f>MATCH($K$4,OutputAddresses,0)</f>
        <v>1</v>
      </c>
      <c r="K4" s="20" t="s">
        <v>28</v>
      </c>
    </row>
    <row r="5" spans="1:11" x14ac:dyDescent="0.3">
      <c r="A5" s="18">
        <v>0</v>
      </c>
      <c r="B5" s="22">
        <v>445360</v>
      </c>
      <c r="K5">
        <f>INDEX(OutputValues,1,$J$4)</f>
        <v>445360</v>
      </c>
    </row>
    <row r="6" spans="1:11" x14ac:dyDescent="0.3">
      <c r="A6" s="18">
        <v>9.9999997764825821E-3</v>
      </c>
      <c r="B6" s="23">
        <v>439119.56</v>
      </c>
      <c r="C6" s="25">
        <f t="shared" ref="C6:C25" si="0">$B$5-B6</f>
        <v>6240.4400000000023</v>
      </c>
      <c r="K6">
        <f>INDEX(OutputValues,2,$J$4)</f>
        <v>439119.56</v>
      </c>
    </row>
    <row r="7" spans="1:11" x14ac:dyDescent="0.3">
      <c r="A7" s="18">
        <v>1.9999999552965164E-2</v>
      </c>
      <c r="B7" s="23">
        <v>433040.22</v>
      </c>
      <c r="C7" s="25">
        <f t="shared" si="0"/>
        <v>12319.780000000028</v>
      </c>
      <c r="K7">
        <f>INDEX(OutputValues,3,$J$4)</f>
        <v>433040.22</v>
      </c>
    </row>
    <row r="8" spans="1:11" x14ac:dyDescent="0.3">
      <c r="A8" s="18">
        <v>2.9999999329447746E-2</v>
      </c>
      <c r="B8" s="23">
        <v>427116.15</v>
      </c>
      <c r="C8" s="25">
        <f t="shared" si="0"/>
        <v>18243.849999999977</v>
      </c>
      <c r="K8">
        <f>INDEX(OutputValues,4,$J$4)</f>
        <v>427116.15</v>
      </c>
    </row>
    <row r="9" spans="1:11" x14ac:dyDescent="0.3">
      <c r="A9" s="18">
        <v>3.9999999105930328E-2</v>
      </c>
      <c r="B9" s="23">
        <v>421341.81</v>
      </c>
      <c r="C9" s="25">
        <f t="shared" si="0"/>
        <v>24018.190000000002</v>
      </c>
      <c r="K9">
        <f>INDEX(OutputValues,5,$J$4)</f>
        <v>421341.81</v>
      </c>
    </row>
    <row r="10" spans="1:11" x14ac:dyDescent="0.3">
      <c r="A10" s="18">
        <v>4.9999997019767761E-2</v>
      </c>
      <c r="B10" s="23">
        <v>415711.91</v>
      </c>
      <c r="C10" s="25">
        <f t="shared" si="0"/>
        <v>29648.090000000026</v>
      </c>
      <c r="K10">
        <f>INDEX(OutputValues,6,$J$4)</f>
        <v>415711.91</v>
      </c>
    </row>
    <row r="11" spans="1:11" x14ac:dyDescent="0.3">
      <c r="A11" s="18">
        <v>5.9999998658895493E-2</v>
      </c>
      <c r="B11" s="23">
        <v>410221.42</v>
      </c>
      <c r="C11" s="25">
        <f t="shared" si="0"/>
        <v>35138.580000000016</v>
      </c>
      <c r="K11">
        <f>INDEX(OutputValues,7,$J$4)</f>
        <v>410221.42</v>
      </c>
    </row>
    <row r="12" spans="1:11" x14ac:dyDescent="0.3">
      <c r="A12" s="18">
        <v>7.0000000298023224E-2</v>
      </c>
      <c r="B12" s="23">
        <v>404865.52</v>
      </c>
      <c r="C12" s="25">
        <f t="shared" si="0"/>
        <v>40494.479999999981</v>
      </c>
      <c r="K12">
        <f>INDEX(OutputValues,8,$J$4)</f>
        <v>404865.52</v>
      </c>
    </row>
    <row r="13" spans="1:11" x14ac:dyDescent="0.3">
      <c r="A13" s="18">
        <v>7.9999998211860657E-2</v>
      </c>
      <c r="B13" s="23">
        <v>399639.64</v>
      </c>
      <c r="C13" s="25">
        <f t="shared" si="0"/>
        <v>45720.359999999986</v>
      </c>
      <c r="K13">
        <f>INDEX(OutputValues,9,$J$4)</f>
        <v>399639.64</v>
      </c>
    </row>
    <row r="14" spans="1:11" x14ac:dyDescent="0.3">
      <c r="A14" s="18">
        <v>8.999999612569809E-2</v>
      </c>
      <c r="B14" s="23">
        <v>394539.38</v>
      </c>
      <c r="C14" s="25">
        <f t="shared" si="0"/>
        <v>50820.619999999995</v>
      </c>
      <c r="K14">
        <f>INDEX(OutputValues,10,$J$4)</f>
        <v>394539.38</v>
      </c>
    </row>
    <row r="15" spans="1:11" x14ac:dyDescent="0.3">
      <c r="A15" s="18">
        <v>9.9999994039535522E-2</v>
      </c>
      <c r="B15" s="23">
        <v>389560.56</v>
      </c>
      <c r="C15" s="25">
        <f t="shared" si="0"/>
        <v>55799.44</v>
      </c>
      <c r="K15">
        <f>INDEX(OutputValues,11,$J$4)</f>
        <v>389560.56</v>
      </c>
    </row>
    <row r="16" spans="1:11" x14ac:dyDescent="0.3">
      <c r="A16" s="18">
        <v>0.10999999940395355</v>
      </c>
      <c r="B16" s="23">
        <v>384699.17</v>
      </c>
      <c r="C16" s="25">
        <f t="shared" si="0"/>
        <v>60660.830000000016</v>
      </c>
      <c r="K16">
        <f>INDEX(OutputValues,12,$J$4)</f>
        <v>384699.17</v>
      </c>
    </row>
    <row r="17" spans="1:11" x14ac:dyDescent="0.3">
      <c r="A17" s="18">
        <v>0.11999999731779099</v>
      </c>
      <c r="B17" s="23">
        <v>379951.39</v>
      </c>
      <c r="C17" s="25">
        <f t="shared" si="0"/>
        <v>65408.609999999986</v>
      </c>
      <c r="K17">
        <f>INDEX(OutputValues,13,$J$4)</f>
        <v>379951.39</v>
      </c>
    </row>
    <row r="18" spans="1:11" x14ac:dyDescent="0.3">
      <c r="A18" s="18">
        <v>0.12999999523162842</v>
      </c>
      <c r="B18" s="23">
        <v>375313.56</v>
      </c>
      <c r="C18" s="25">
        <f t="shared" si="0"/>
        <v>70046.44</v>
      </c>
      <c r="K18">
        <f>INDEX(OutputValues,14,$J$4)</f>
        <v>375313.56</v>
      </c>
    </row>
    <row r="19" spans="1:11" x14ac:dyDescent="0.3">
      <c r="A19" s="18">
        <v>0.14000000059604645</v>
      </c>
      <c r="B19" s="23">
        <v>370782.15</v>
      </c>
      <c r="C19" s="25">
        <f t="shared" si="0"/>
        <v>74577.849999999977</v>
      </c>
      <c r="K19">
        <f>INDEX(OutputValues,15,$J$4)</f>
        <v>370782.15</v>
      </c>
    </row>
    <row r="20" spans="1:11" x14ac:dyDescent="0.3">
      <c r="A20" s="18">
        <v>0.14999999105930328</v>
      </c>
      <c r="B20" s="23">
        <v>366353.82</v>
      </c>
      <c r="C20" s="25">
        <f t="shared" si="0"/>
        <v>79006.179999999993</v>
      </c>
      <c r="K20">
        <f>INDEX(OutputValues,16,$J$4)</f>
        <v>366353.82</v>
      </c>
    </row>
    <row r="21" spans="1:11" x14ac:dyDescent="0.3">
      <c r="A21" s="18">
        <v>0.15999999642372131</v>
      </c>
      <c r="B21" s="23">
        <v>362025.33</v>
      </c>
      <c r="C21" s="25">
        <f t="shared" si="0"/>
        <v>83334.669999999984</v>
      </c>
      <c r="K21">
        <f>INDEX(OutputValues,17,$J$4)</f>
        <v>362025.33</v>
      </c>
    </row>
    <row r="22" spans="1:11" x14ac:dyDescent="0.3">
      <c r="A22" s="18">
        <v>0.17000000178813934</v>
      </c>
      <c r="B22" s="23">
        <v>357793.61</v>
      </c>
      <c r="C22" s="25">
        <f t="shared" si="0"/>
        <v>87566.390000000014</v>
      </c>
      <c r="K22">
        <f>INDEX(OutputValues,18,$J$4)</f>
        <v>357793.61</v>
      </c>
    </row>
    <row r="23" spans="1:11" x14ac:dyDescent="0.3">
      <c r="A23" s="18">
        <v>0.17999999225139618</v>
      </c>
      <c r="B23" s="23">
        <v>353655.7</v>
      </c>
      <c r="C23" s="25">
        <f t="shared" si="0"/>
        <v>91704.299999999988</v>
      </c>
      <c r="K23">
        <f>INDEX(OutputValues,19,$J$4)</f>
        <v>353655.7</v>
      </c>
    </row>
    <row r="24" spans="1:11" x14ac:dyDescent="0.3">
      <c r="A24" s="18">
        <v>0.18999999761581421</v>
      </c>
      <c r="B24" s="23">
        <v>349608.73</v>
      </c>
      <c r="C24" s="25">
        <f t="shared" si="0"/>
        <v>95751.270000000019</v>
      </c>
      <c r="K24">
        <f>INDEX(OutputValues,20,$J$4)</f>
        <v>349608.73</v>
      </c>
    </row>
    <row r="25" spans="1:11" x14ac:dyDescent="0.3">
      <c r="A25" s="18">
        <v>0.19999998807907104</v>
      </c>
      <c r="B25" s="24">
        <v>345650</v>
      </c>
      <c r="C25" s="25">
        <f t="shared" si="0"/>
        <v>99710</v>
      </c>
      <c r="K25">
        <f>INDEX(OutputValues,21,$J$4)</f>
        <v>345650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K15"/>
  <sheetViews>
    <sheetView workbookViewId="0"/>
  </sheetViews>
  <sheetFormatPr defaultRowHeight="14.4" x14ac:dyDescent="0.3"/>
  <sheetData>
    <row r="1" spans="1:11" x14ac:dyDescent="0.3">
      <c r="A1" s="17" t="s">
        <v>27</v>
      </c>
      <c r="K1" s="21" t="str">
        <f>CONCATENATE("Sensitivity of ",$K$4," to ","Pct spoil decrease")</f>
        <v>Sensitivity of TotCost to Pct spoil decrease</v>
      </c>
    </row>
    <row r="3" spans="1:11" x14ac:dyDescent="0.3">
      <c r="A3" t="s">
        <v>35</v>
      </c>
      <c r="K3" t="s">
        <v>29</v>
      </c>
    </row>
    <row r="4" spans="1:11" ht="94.2" x14ac:dyDescent="0.3">
      <c r="B4" s="19" t="s">
        <v>28</v>
      </c>
      <c r="C4" s="19" t="s">
        <v>32</v>
      </c>
      <c r="J4" s="21">
        <f>MATCH($K$4,OutputAddresses,0)</f>
        <v>1</v>
      </c>
      <c r="K4" s="20" t="s">
        <v>28</v>
      </c>
    </row>
    <row r="5" spans="1:11" x14ac:dyDescent="0.3">
      <c r="A5" s="18">
        <v>0</v>
      </c>
      <c r="B5" s="22">
        <v>445360</v>
      </c>
      <c r="K5">
        <f>INDEX(OutputValues,1,$J$4)</f>
        <v>445360</v>
      </c>
    </row>
    <row r="6" spans="1:11" x14ac:dyDescent="0.3">
      <c r="A6" s="18">
        <v>9.9999997764825821E-3</v>
      </c>
      <c r="B6" s="23">
        <v>445264</v>
      </c>
      <c r="C6" s="25">
        <f t="shared" ref="C6:C15" si="0">$B$5-B6</f>
        <v>96</v>
      </c>
      <c r="K6">
        <f>INDEX(OutputValues,2,$J$4)</f>
        <v>445264</v>
      </c>
    </row>
    <row r="7" spans="1:11" x14ac:dyDescent="0.3">
      <c r="A7" s="18">
        <v>1.9999999552965164E-2</v>
      </c>
      <c r="B7" s="23">
        <v>445168</v>
      </c>
      <c r="C7" s="25">
        <f t="shared" si="0"/>
        <v>192</v>
      </c>
      <c r="K7">
        <f>INDEX(OutputValues,3,$J$4)</f>
        <v>445168</v>
      </c>
    </row>
    <row r="8" spans="1:11" x14ac:dyDescent="0.3">
      <c r="A8" s="18">
        <v>2.9999999329447746E-2</v>
      </c>
      <c r="B8" s="23">
        <v>445072</v>
      </c>
      <c r="C8" s="25">
        <f t="shared" si="0"/>
        <v>288</v>
      </c>
      <c r="K8">
        <f>INDEX(OutputValues,4,$J$4)</f>
        <v>445072</v>
      </c>
    </row>
    <row r="9" spans="1:11" x14ac:dyDescent="0.3">
      <c r="A9" s="18">
        <v>3.9999999105930328E-2</v>
      </c>
      <c r="B9" s="23">
        <v>444976</v>
      </c>
      <c r="C9" s="25">
        <f t="shared" si="0"/>
        <v>384</v>
      </c>
      <c r="K9">
        <f>INDEX(OutputValues,5,$J$4)</f>
        <v>444976</v>
      </c>
    </row>
    <row r="10" spans="1:11" x14ac:dyDescent="0.3">
      <c r="A10" s="18">
        <v>4.9999997019767761E-2</v>
      </c>
      <c r="B10" s="23">
        <v>444880</v>
      </c>
      <c r="C10" s="25">
        <f t="shared" si="0"/>
        <v>480</v>
      </c>
      <c r="K10">
        <f>INDEX(OutputValues,6,$J$4)</f>
        <v>444880</v>
      </c>
    </row>
    <row r="11" spans="1:11" x14ac:dyDescent="0.3">
      <c r="A11" s="18">
        <v>5.9999998658895493E-2</v>
      </c>
      <c r="B11" s="23">
        <v>444784</v>
      </c>
      <c r="C11" s="25">
        <f t="shared" si="0"/>
        <v>576</v>
      </c>
      <c r="K11">
        <f>INDEX(OutputValues,7,$J$4)</f>
        <v>444784</v>
      </c>
    </row>
    <row r="12" spans="1:11" x14ac:dyDescent="0.3">
      <c r="A12" s="18">
        <v>7.0000000298023224E-2</v>
      </c>
      <c r="B12" s="23">
        <v>444688</v>
      </c>
      <c r="C12" s="25">
        <f t="shared" si="0"/>
        <v>672</v>
      </c>
      <c r="K12">
        <f>INDEX(OutputValues,8,$J$4)</f>
        <v>444688</v>
      </c>
    </row>
    <row r="13" spans="1:11" x14ac:dyDescent="0.3">
      <c r="A13" s="18">
        <v>7.9999998211860657E-2</v>
      </c>
      <c r="B13" s="23">
        <v>444592</v>
      </c>
      <c r="C13" s="25">
        <f t="shared" si="0"/>
        <v>768</v>
      </c>
      <c r="K13">
        <f>INDEX(OutputValues,9,$J$4)</f>
        <v>444592</v>
      </c>
    </row>
    <row r="14" spans="1:11" x14ac:dyDescent="0.3">
      <c r="A14" s="18">
        <v>8.999999612569809E-2</v>
      </c>
      <c r="B14" s="23">
        <v>444496</v>
      </c>
      <c r="C14" s="25">
        <f t="shared" si="0"/>
        <v>864</v>
      </c>
      <c r="K14">
        <f>INDEX(OutputValues,10,$J$4)</f>
        <v>444496</v>
      </c>
    </row>
    <row r="15" spans="1:11" x14ac:dyDescent="0.3">
      <c r="A15" s="18">
        <v>9.9999994039535522E-2</v>
      </c>
      <c r="B15" s="24">
        <v>444400</v>
      </c>
      <c r="C15" s="25">
        <f t="shared" si="0"/>
        <v>960</v>
      </c>
      <c r="K15">
        <f>INDEX(OutputValues,11,$J$4)</f>
        <v>444400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BA29"/>
  <sheetViews>
    <sheetView workbookViewId="0"/>
  </sheetViews>
  <sheetFormatPr defaultRowHeight="14.4" x14ac:dyDescent="0.3"/>
  <cols>
    <col min="1" max="1" width="7.6640625" bestFit="1" customWidth="1"/>
  </cols>
  <sheetData>
    <row r="1" spans="1:53" x14ac:dyDescent="0.3">
      <c r="A1" s="17" t="s">
        <v>37</v>
      </c>
      <c r="K1" s="21" t="str">
        <f>CONCATENATE("Sensitivity of ",$K$4," to ","Pct spoil decrease")</f>
        <v>Sensitivity of TotCost to Pct spoil decrease</v>
      </c>
      <c r="O1" s="21" t="str">
        <f>CONCATENATE("Sensitivity of ",$O$4," to ","Pct suitable increase")</f>
        <v>Sensitivity of TotCost to Pct suitable increase</v>
      </c>
      <c r="BA1" t="s">
        <v>28</v>
      </c>
    </row>
    <row r="2" spans="1:53" x14ac:dyDescent="0.3">
      <c r="K2" t="s">
        <v>39</v>
      </c>
      <c r="O2" t="s">
        <v>42</v>
      </c>
    </row>
    <row r="3" spans="1:53" x14ac:dyDescent="0.3">
      <c r="A3" t="s">
        <v>38</v>
      </c>
      <c r="K3" t="s">
        <v>40</v>
      </c>
      <c r="L3" t="s">
        <v>41</v>
      </c>
      <c r="O3" t="s">
        <v>40</v>
      </c>
      <c r="P3" t="s">
        <v>43</v>
      </c>
    </row>
    <row r="4" spans="1:53" ht="40.200000000000003" x14ac:dyDescent="0.3">
      <c r="A4" s="26" t="s">
        <v>28</v>
      </c>
      <c r="B4" s="18">
        <v>0</v>
      </c>
      <c r="C4" s="18">
        <v>1.9999999552965164E-2</v>
      </c>
      <c r="D4" s="18">
        <v>3.9999999105930328E-2</v>
      </c>
      <c r="E4" s="18">
        <v>5.9999998658895493E-2</v>
      </c>
      <c r="F4" s="18">
        <v>7.9999998211860657E-2</v>
      </c>
      <c r="G4" s="18">
        <v>9.9999994039535522E-2</v>
      </c>
      <c r="J4" s="21">
        <f>MATCH($K$4,OutputAddresses,0)</f>
        <v>1</v>
      </c>
      <c r="K4" s="20" t="s">
        <v>28</v>
      </c>
      <c r="L4" s="27">
        <v>0</v>
      </c>
      <c r="M4" s="21">
        <f>MATCH($L$4,InputValues1,0)</f>
        <v>1</v>
      </c>
      <c r="N4" s="21">
        <f>MATCH($O$4,OutputAddresses,0)</f>
        <v>1</v>
      </c>
      <c r="O4" s="20" t="s">
        <v>28</v>
      </c>
      <c r="P4" s="27">
        <v>0</v>
      </c>
      <c r="Q4" s="21">
        <f>MATCH($P$4,InputValues2,0)</f>
        <v>1</v>
      </c>
    </row>
    <row r="5" spans="1:53" x14ac:dyDescent="0.3">
      <c r="A5" s="18">
        <v>0</v>
      </c>
      <c r="B5" s="28">
        <v>445360</v>
      </c>
      <c r="C5" s="31">
        <v>445168</v>
      </c>
      <c r="D5" s="31">
        <v>444976</v>
      </c>
      <c r="E5" s="31">
        <v>444784</v>
      </c>
      <c r="F5" s="31">
        <v>444592</v>
      </c>
      <c r="G5" s="34">
        <v>444400</v>
      </c>
      <c r="J5" s="21" t="str">
        <f>"OutputValues_"&amp;$J$4</f>
        <v>OutputValues_1</v>
      </c>
      <c r="K5">
        <f ca="1">INDEX(INDIRECT($J$5),$M$4,1)</f>
        <v>445360</v>
      </c>
      <c r="N5" s="21" t="str">
        <f>"OutputValues_"&amp;$N$4</f>
        <v>OutputValues_1</v>
      </c>
      <c r="O5">
        <f ca="1">INDEX(INDIRECT($N$5),1,$Q$4)</f>
        <v>445360</v>
      </c>
    </row>
    <row r="6" spans="1:53" x14ac:dyDescent="0.3">
      <c r="A6" s="18">
        <v>1.9999999552965164E-2</v>
      </c>
      <c r="B6" s="29">
        <v>433040.22</v>
      </c>
      <c r="C6" s="32">
        <v>432791.25</v>
      </c>
      <c r="D6" s="32">
        <v>432542.28</v>
      </c>
      <c r="E6" s="32">
        <v>432293.31</v>
      </c>
      <c r="F6" s="32">
        <v>432044.34</v>
      </c>
      <c r="G6" s="35">
        <v>431795.37</v>
      </c>
      <c r="K6">
        <f ca="1">INDEX(INDIRECT($J$5),$M$4,2)</f>
        <v>445168</v>
      </c>
      <c r="O6">
        <f ca="1">INDEX(INDIRECT($N$5),2,$Q$4)</f>
        <v>433040.22</v>
      </c>
    </row>
    <row r="7" spans="1:53" x14ac:dyDescent="0.3">
      <c r="A7" s="18">
        <v>3.9999999105930328E-2</v>
      </c>
      <c r="B7" s="29">
        <v>421341.81</v>
      </c>
      <c r="C7" s="32">
        <v>421039.35</v>
      </c>
      <c r="D7" s="32">
        <v>420736.9</v>
      </c>
      <c r="E7" s="32">
        <v>420434.44</v>
      </c>
      <c r="F7" s="32">
        <v>420131.98</v>
      </c>
      <c r="G7" s="35">
        <v>419829.52</v>
      </c>
      <c r="K7">
        <f ca="1">INDEX(INDIRECT($J$5),$M$4,3)</f>
        <v>444976</v>
      </c>
      <c r="O7">
        <f ca="1">INDEX(INDIRECT($N$5),3,$Q$4)</f>
        <v>421341.81</v>
      </c>
    </row>
    <row r="8" spans="1:53" x14ac:dyDescent="0.3">
      <c r="A8" s="18">
        <v>5.9999998658895493E-2</v>
      </c>
      <c r="B8" s="29">
        <v>410221.42</v>
      </c>
      <c r="C8" s="32">
        <v>409868.72</v>
      </c>
      <c r="D8" s="32">
        <v>409516.01</v>
      </c>
      <c r="E8" s="32">
        <v>409163.31</v>
      </c>
      <c r="F8" s="32">
        <v>408810.61</v>
      </c>
      <c r="G8" s="35">
        <v>408457.91</v>
      </c>
      <c r="K8">
        <f ca="1">INDEX(INDIRECT($J$5),$M$4,4)</f>
        <v>444784</v>
      </c>
      <c r="O8">
        <f ca="1">INDEX(INDIRECT($N$5),4,$Q$4)</f>
        <v>410221.42</v>
      </c>
    </row>
    <row r="9" spans="1:53" x14ac:dyDescent="0.3">
      <c r="A9" s="18">
        <v>7.9999998211860657E-2</v>
      </c>
      <c r="B9" s="29">
        <v>399639.64</v>
      </c>
      <c r="C9" s="32">
        <v>399239.71</v>
      </c>
      <c r="D9" s="32">
        <v>398839.78</v>
      </c>
      <c r="E9" s="32">
        <v>398439.86</v>
      </c>
      <c r="F9" s="32">
        <v>398039.93</v>
      </c>
      <c r="G9" s="35">
        <v>397640</v>
      </c>
      <c r="K9">
        <f ca="1">INDEX(INDIRECT($J$5),$M$4,5)</f>
        <v>444592</v>
      </c>
      <c r="O9">
        <f ca="1">INDEX(INDIRECT($N$5),5,$Q$4)</f>
        <v>399639.64</v>
      </c>
    </row>
    <row r="10" spans="1:53" x14ac:dyDescent="0.3">
      <c r="A10" s="18">
        <v>9.9999994039535522E-2</v>
      </c>
      <c r="B10" s="29">
        <v>389560.56</v>
      </c>
      <c r="C10" s="32">
        <v>389116.23</v>
      </c>
      <c r="D10" s="32">
        <v>388671.89</v>
      </c>
      <c r="E10" s="32">
        <v>388227.56</v>
      </c>
      <c r="F10" s="32">
        <v>387783.23</v>
      </c>
      <c r="G10" s="35">
        <v>387338.89</v>
      </c>
      <c r="K10">
        <f ca="1">INDEX(INDIRECT($J$5),$M$4,6)</f>
        <v>444400</v>
      </c>
      <c r="O10">
        <f ca="1">INDEX(INDIRECT($N$5),6,$Q$4)</f>
        <v>389560.56</v>
      </c>
    </row>
    <row r="11" spans="1:53" x14ac:dyDescent="0.3">
      <c r="A11" s="18">
        <v>0.11999999731779099</v>
      </c>
      <c r="B11" s="29">
        <v>379951.39</v>
      </c>
      <c r="C11" s="32">
        <v>379465.29</v>
      </c>
      <c r="D11" s="32">
        <v>378979.18</v>
      </c>
      <c r="E11" s="32">
        <v>378493.08</v>
      </c>
      <c r="F11" s="32">
        <v>378006.98</v>
      </c>
      <c r="G11" s="35">
        <v>377520.87</v>
      </c>
      <c r="O11">
        <f ca="1">INDEX(INDIRECT($N$5),7,$Q$4)</f>
        <v>379951.39</v>
      </c>
    </row>
    <row r="12" spans="1:53" x14ac:dyDescent="0.3">
      <c r="A12" s="18">
        <v>0.14000000059604645</v>
      </c>
      <c r="B12" s="29">
        <v>370782.15</v>
      </c>
      <c r="C12" s="32">
        <v>370256.74</v>
      </c>
      <c r="D12" s="32">
        <v>369731.33</v>
      </c>
      <c r="E12" s="32">
        <v>369205.92</v>
      </c>
      <c r="F12" s="32">
        <v>368680.51</v>
      </c>
      <c r="G12" s="35">
        <v>368155.11</v>
      </c>
      <c r="O12">
        <f ca="1">INDEX(INDIRECT($N$5),8,$Q$4)</f>
        <v>370782.15</v>
      </c>
    </row>
    <row r="13" spans="1:53" x14ac:dyDescent="0.3">
      <c r="A13" s="18">
        <v>0.15999999642372131</v>
      </c>
      <c r="B13" s="29">
        <v>362025.33</v>
      </c>
      <c r="C13" s="32">
        <v>361462.93</v>
      </c>
      <c r="D13" s="32">
        <v>360900.53</v>
      </c>
      <c r="E13" s="32">
        <v>360338.13</v>
      </c>
      <c r="F13" s="32">
        <v>359775.73</v>
      </c>
      <c r="G13" s="35">
        <v>359213.34</v>
      </c>
      <c r="O13">
        <f ca="1">INDEX(INDIRECT($N$5),9,$Q$4)</f>
        <v>362025.33</v>
      </c>
    </row>
    <row r="14" spans="1:53" x14ac:dyDescent="0.3">
      <c r="A14" s="18">
        <v>0.17999999225139618</v>
      </c>
      <c r="B14" s="29">
        <v>353655.7</v>
      </c>
      <c r="C14" s="32">
        <v>353058.48</v>
      </c>
      <c r="D14" s="32">
        <v>352461.26</v>
      </c>
      <c r="E14" s="32">
        <v>351864.04</v>
      </c>
      <c r="F14" s="32">
        <v>351266.82</v>
      </c>
      <c r="G14" s="35">
        <v>350669.6</v>
      </c>
      <c r="O14">
        <f ca="1">INDEX(INDIRECT($N$5),10,$Q$4)</f>
        <v>353655.7</v>
      </c>
    </row>
    <row r="15" spans="1:53" x14ac:dyDescent="0.3">
      <c r="A15" s="18">
        <v>0.19999998807907104</v>
      </c>
      <c r="B15" s="30">
        <v>345650</v>
      </c>
      <c r="C15" s="33">
        <v>345020</v>
      </c>
      <c r="D15" s="33">
        <v>344390</v>
      </c>
      <c r="E15" s="33">
        <v>343760</v>
      </c>
      <c r="F15" s="33">
        <v>343130</v>
      </c>
      <c r="G15" s="36">
        <v>342500.01</v>
      </c>
      <c r="O15">
        <f ca="1">INDEX(INDIRECT($N$5),11,$Q$4)</f>
        <v>345650</v>
      </c>
    </row>
    <row r="17" spans="1:7" x14ac:dyDescent="0.3">
      <c r="A17" t="s">
        <v>44</v>
      </c>
    </row>
    <row r="18" spans="1:7" x14ac:dyDescent="0.3">
      <c r="B18" s="18">
        <v>0</v>
      </c>
      <c r="C18" s="18">
        <v>1.9999999552965164E-2</v>
      </c>
      <c r="D18" s="18">
        <v>3.9999999105930328E-2</v>
      </c>
      <c r="E18" s="18">
        <v>5.9999998658895493E-2</v>
      </c>
      <c r="F18" s="18">
        <v>7.9999998211860657E-2</v>
      </c>
      <c r="G18" s="18">
        <v>9.9999994039535522E-2</v>
      </c>
    </row>
    <row r="19" spans="1:7" x14ac:dyDescent="0.3">
      <c r="A19" s="18">
        <v>0</v>
      </c>
      <c r="B19" s="28">
        <f t="shared" ref="B19:G29" si="0">$B$5-B5</f>
        <v>0</v>
      </c>
      <c r="C19" s="31">
        <f t="shared" si="0"/>
        <v>192</v>
      </c>
      <c r="D19" s="31">
        <f t="shared" si="0"/>
        <v>384</v>
      </c>
      <c r="E19" s="31">
        <f t="shared" si="0"/>
        <v>576</v>
      </c>
      <c r="F19" s="31">
        <f t="shared" si="0"/>
        <v>768</v>
      </c>
      <c r="G19" s="34">
        <f t="shared" si="0"/>
        <v>960</v>
      </c>
    </row>
    <row r="20" spans="1:7" x14ac:dyDescent="0.3">
      <c r="A20" s="18">
        <v>1.9999999552965164E-2</v>
      </c>
      <c r="B20" s="29">
        <f t="shared" si="0"/>
        <v>12319.780000000028</v>
      </c>
      <c r="C20" s="32">
        <f t="shared" si="0"/>
        <v>12568.75</v>
      </c>
      <c r="D20" s="32">
        <f t="shared" si="0"/>
        <v>12817.719999999972</v>
      </c>
      <c r="E20" s="32">
        <f t="shared" si="0"/>
        <v>13066.690000000002</v>
      </c>
      <c r="F20" s="32">
        <f t="shared" si="0"/>
        <v>13315.659999999974</v>
      </c>
      <c r="G20" s="35">
        <f t="shared" si="0"/>
        <v>13564.630000000005</v>
      </c>
    </row>
    <row r="21" spans="1:7" x14ac:dyDescent="0.3">
      <c r="A21" s="18">
        <v>3.9999999105930328E-2</v>
      </c>
      <c r="B21" s="29">
        <f t="shared" si="0"/>
        <v>24018.190000000002</v>
      </c>
      <c r="C21" s="32">
        <f t="shared" si="0"/>
        <v>24320.650000000023</v>
      </c>
      <c r="D21" s="32">
        <f t="shared" si="0"/>
        <v>24623.099999999977</v>
      </c>
      <c r="E21" s="32">
        <f t="shared" si="0"/>
        <v>24925.559999999998</v>
      </c>
      <c r="F21" s="32">
        <f t="shared" si="0"/>
        <v>25228.020000000019</v>
      </c>
      <c r="G21" s="35">
        <f t="shared" si="0"/>
        <v>25530.479999999981</v>
      </c>
    </row>
    <row r="22" spans="1:7" x14ac:dyDescent="0.3">
      <c r="A22" s="18">
        <v>5.9999998658895493E-2</v>
      </c>
      <c r="B22" s="29">
        <f t="shared" si="0"/>
        <v>35138.580000000016</v>
      </c>
      <c r="C22" s="32">
        <f t="shared" si="0"/>
        <v>35491.280000000028</v>
      </c>
      <c r="D22" s="32">
        <f t="shared" si="0"/>
        <v>35843.989999999991</v>
      </c>
      <c r="E22" s="32">
        <f t="shared" si="0"/>
        <v>36196.69</v>
      </c>
      <c r="F22" s="32">
        <f t="shared" si="0"/>
        <v>36549.390000000014</v>
      </c>
      <c r="G22" s="35">
        <f t="shared" si="0"/>
        <v>36902.090000000026</v>
      </c>
    </row>
    <row r="23" spans="1:7" x14ac:dyDescent="0.3">
      <c r="A23" s="18">
        <v>7.9999998211860657E-2</v>
      </c>
      <c r="B23" s="29">
        <f t="shared" si="0"/>
        <v>45720.359999999986</v>
      </c>
      <c r="C23" s="32">
        <f t="shared" si="0"/>
        <v>46120.289999999979</v>
      </c>
      <c r="D23" s="32">
        <f t="shared" si="0"/>
        <v>46520.219999999972</v>
      </c>
      <c r="E23" s="32">
        <f t="shared" si="0"/>
        <v>46920.140000000014</v>
      </c>
      <c r="F23" s="32">
        <f t="shared" si="0"/>
        <v>47320.070000000007</v>
      </c>
      <c r="G23" s="35">
        <f t="shared" si="0"/>
        <v>47720</v>
      </c>
    </row>
    <row r="24" spans="1:7" x14ac:dyDescent="0.3">
      <c r="A24" s="18">
        <v>9.9999994039535522E-2</v>
      </c>
      <c r="B24" s="29">
        <f t="shared" si="0"/>
        <v>55799.44</v>
      </c>
      <c r="C24" s="32">
        <f t="shared" si="0"/>
        <v>56243.770000000019</v>
      </c>
      <c r="D24" s="32">
        <f t="shared" si="0"/>
        <v>56688.109999999986</v>
      </c>
      <c r="E24" s="32">
        <f t="shared" si="0"/>
        <v>57132.44</v>
      </c>
      <c r="F24" s="32">
        <f t="shared" si="0"/>
        <v>57576.770000000019</v>
      </c>
      <c r="G24" s="35">
        <f t="shared" si="0"/>
        <v>58021.109999999986</v>
      </c>
    </row>
    <row r="25" spans="1:7" x14ac:dyDescent="0.3">
      <c r="A25" s="18">
        <v>0.11999999731779099</v>
      </c>
      <c r="B25" s="29">
        <f t="shared" si="0"/>
        <v>65408.609999999986</v>
      </c>
      <c r="C25" s="32">
        <f t="shared" si="0"/>
        <v>65894.710000000021</v>
      </c>
      <c r="D25" s="32">
        <f t="shared" si="0"/>
        <v>66380.820000000007</v>
      </c>
      <c r="E25" s="32">
        <f t="shared" si="0"/>
        <v>66866.919999999984</v>
      </c>
      <c r="F25" s="32">
        <f t="shared" si="0"/>
        <v>67353.020000000019</v>
      </c>
      <c r="G25" s="35">
        <f t="shared" si="0"/>
        <v>67839.13</v>
      </c>
    </row>
    <row r="26" spans="1:7" x14ac:dyDescent="0.3">
      <c r="A26" s="18">
        <v>0.14000000059604645</v>
      </c>
      <c r="B26" s="29">
        <f t="shared" si="0"/>
        <v>74577.849999999977</v>
      </c>
      <c r="C26" s="32">
        <f t="shared" si="0"/>
        <v>75103.260000000009</v>
      </c>
      <c r="D26" s="32">
        <f t="shared" si="0"/>
        <v>75628.669999999984</v>
      </c>
      <c r="E26" s="32">
        <f t="shared" si="0"/>
        <v>76154.080000000016</v>
      </c>
      <c r="F26" s="32">
        <f t="shared" si="0"/>
        <v>76679.489999999991</v>
      </c>
      <c r="G26" s="35">
        <f t="shared" si="0"/>
        <v>77204.890000000014</v>
      </c>
    </row>
    <row r="27" spans="1:7" x14ac:dyDescent="0.3">
      <c r="A27" s="18">
        <v>0.15999999642372131</v>
      </c>
      <c r="B27" s="29">
        <f t="shared" si="0"/>
        <v>83334.669999999984</v>
      </c>
      <c r="C27" s="32">
        <f t="shared" si="0"/>
        <v>83897.07</v>
      </c>
      <c r="D27" s="32">
        <f t="shared" si="0"/>
        <v>84459.469999999972</v>
      </c>
      <c r="E27" s="32">
        <f t="shared" si="0"/>
        <v>85021.87</v>
      </c>
      <c r="F27" s="32">
        <f t="shared" si="0"/>
        <v>85584.270000000019</v>
      </c>
      <c r="G27" s="35">
        <f t="shared" si="0"/>
        <v>86146.659999999974</v>
      </c>
    </row>
    <row r="28" spans="1:7" x14ac:dyDescent="0.3">
      <c r="A28" s="18">
        <v>0.17999999225139618</v>
      </c>
      <c r="B28" s="29">
        <f t="shared" si="0"/>
        <v>91704.299999999988</v>
      </c>
      <c r="C28" s="32">
        <f t="shared" si="0"/>
        <v>92301.520000000019</v>
      </c>
      <c r="D28" s="32">
        <f t="shared" si="0"/>
        <v>92898.739999999991</v>
      </c>
      <c r="E28" s="32">
        <f t="shared" si="0"/>
        <v>93495.960000000021</v>
      </c>
      <c r="F28" s="32">
        <f t="shared" si="0"/>
        <v>94093.18</v>
      </c>
      <c r="G28" s="35">
        <f t="shared" si="0"/>
        <v>94690.400000000023</v>
      </c>
    </row>
    <row r="29" spans="1:7" x14ac:dyDescent="0.3">
      <c r="A29" s="18">
        <v>0.19999998807907104</v>
      </c>
      <c r="B29" s="30">
        <f t="shared" si="0"/>
        <v>99710</v>
      </c>
      <c r="C29" s="33">
        <f t="shared" si="0"/>
        <v>100340</v>
      </c>
      <c r="D29" s="33">
        <f t="shared" si="0"/>
        <v>100970</v>
      </c>
      <c r="E29" s="33">
        <f t="shared" si="0"/>
        <v>101600</v>
      </c>
      <c r="F29" s="33">
        <f t="shared" si="0"/>
        <v>102230</v>
      </c>
      <c r="G29" s="36">
        <f t="shared" si="0"/>
        <v>102859.98999999999</v>
      </c>
    </row>
  </sheetData>
  <dataValidations count="3">
    <dataValidation type="list" allowBlank="1" showInputMessage="1" showErrorMessage="1" sqref="K4 O4">
      <formula1>OutputAddresses</formula1>
    </dataValidation>
    <dataValidation type="list" allowBlank="1" showInputMessage="1" showErrorMessage="1" sqref="L4">
      <formula1>InputValues1</formula1>
    </dataValidation>
    <dataValidation type="list" allowBlank="1" showInputMessage="1" showErrorMessage="1" sqref="P4">
      <formula1>InputValues2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28</vt:i4>
      </vt:variant>
    </vt:vector>
  </HeadingPairs>
  <TitlesOfParts>
    <vt:vector size="33" baseType="lpstr">
      <vt:lpstr>Model</vt:lpstr>
      <vt:lpstr>Revised Model b</vt:lpstr>
      <vt:lpstr>STS_1</vt:lpstr>
      <vt:lpstr>STS_2</vt:lpstr>
      <vt:lpstr>STS_3</vt:lpstr>
      <vt:lpstr>STS_1!ChartData</vt:lpstr>
      <vt:lpstr>STS_2!ChartData</vt:lpstr>
      <vt:lpstr>STS_3!ChartData1</vt:lpstr>
      <vt:lpstr>STS_3!ChartData2</vt:lpstr>
      <vt:lpstr>'Revised Model b'!Demand</vt:lpstr>
      <vt:lpstr>Demand</vt:lpstr>
      <vt:lpstr>'Revised Model b'!Ending</vt:lpstr>
      <vt:lpstr>Ending</vt:lpstr>
      <vt:lpstr>STS_1!InputValues</vt:lpstr>
      <vt:lpstr>STS_2!InputValues</vt:lpstr>
      <vt:lpstr>STS_3!InputValues1</vt:lpstr>
      <vt:lpstr>STS_3!InputValues2</vt:lpstr>
      <vt:lpstr>'Revised Model b'!Onhand</vt:lpstr>
      <vt:lpstr>Onhand</vt:lpstr>
      <vt:lpstr>'Revised Model b'!OTProd</vt:lpstr>
      <vt:lpstr>OTProd</vt:lpstr>
      <vt:lpstr>STS_1!OutputAddresses</vt:lpstr>
      <vt:lpstr>STS_2!OutputAddresses</vt:lpstr>
      <vt:lpstr>STS_3!OutputAddresses</vt:lpstr>
      <vt:lpstr>STS_1!OutputValues</vt:lpstr>
      <vt:lpstr>STS_2!OutputValues</vt:lpstr>
      <vt:lpstr>STS_3!OutputValues_1</vt:lpstr>
      <vt:lpstr>'Revised Model b'!RTCap</vt:lpstr>
      <vt:lpstr>RTCap</vt:lpstr>
      <vt:lpstr>'Revised Model b'!RTProd</vt:lpstr>
      <vt:lpstr>RTProd</vt:lpstr>
      <vt:lpstr>'Revised Model b'!TotCost</vt:lpstr>
      <vt:lpstr>TotCost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1996-01-20T16:35:25Z</cp:lastPrinted>
  <dcterms:created xsi:type="dcterms:W3CDTF">1995-12-15T14:25:50Z</dcterms:created>
  <dcterms:modified xsi:type="dcterms:W3CDTF">2014-03-09T16:55:01Z</dcterms:modified>
</cp:coreProperties>
</file>